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updateLinks="never" codeName="현재_통합_문서" defaultThemeVersion="124226"/>
  <mc:AlternateContent xmlns:mc="http://schemas.openxmlformats.org/markup-compatibility/2006">
    <mc:Choice Requires="x15">
      <x15ac:absPath xmlns:x15ac="http://schemas.microsoft.com/office/spreadsheetml/2010/11/ac" url="C:\Users\meesu\Documents\git_repo\kt_dev_essential\Project\"/>
    </mc:Choice>
  </mc:AlternateContent>
  <xr:revisionPtr revIDLastSave="0" documentId="13_ncr:1_{522FEC68-B7AA-4FFC-8E0D-A223A368AE3E}" xr6:coauthVersionLast="47" xr6:coauthVersionMax="47" xr10:uidLastSave="{00000000-0000-0000-0000-000000000000}"/>
  <workbookProtection workbookAlgorithmName="SHA-512" workbookHashValue="WvOsIfK8PRcMfBKUUOJ1wYPomR5SX/1e1FO178eVDKz6KkL8fZ8bOhfGAOZP4B46F+irPbDHW6jPQTrbmRuUkg==" workbookSaltValue="QoY4KoVPo209AvvJILVvqQ==" workbookSpinCount="100000" lockStructure="1"/>
  <bookViews>
    <workbookView xWindow="-108" yWindow="-108" windowWidth="23256" windowHeight="12576" tabRatio="796" activeTab="1" xr2:uid="{00000000-000D-0000-FFFF-FFFF00000000}"/>
  </bookViews>
  <sheets>
    <sheet name="1.필수작성" sheetId="22" r:id="rId1"/>
    <sheet name="2. 규모산정(FP)" sheetId="23" r:id="rId2"/>
    <sheet name="3.산정결과" sheetId="24" r:id="rId3"/>
    <sheet name="3_1.산정식" sheetId="25" state="hidden" r:id="rId4"/>
    <sheet name="4. MM기준 대가 산정('25년)" sheetId="2" r:id="rId5"/>
    <sheet name="직무체계" sheetId="19" r:id="rId6"/>
    <sheet name="직무별 정의" sheetId="20" state="hidden" r:id="rId7"/>
    <sheet name="※참조_사업 단가" sheetId="15" state="hidden" r:id="rId8"/>
  </sheets>
  <externalReferences>
    <externalReference r:id="rId9"/>
  </externalReferences>
  <definedNames>
    <definedName name="_xlnm._FilterDatabase" localSheetId="0" hidden="1">'1.필수작성'!$B$2:$Q$34</definedName>
    <definedName name="_xlnm.Print_Area" localSheetId="7">'※참조_사업 단가'!$A$1:$F$20</definedName>
    <definedName name="경영_영업">#REF!</definedName>
    <definedName name="단말">#REF!</definedName>
    <definedName name="솔루션">#REF!</definedName>
    <definedName name="웹_앱">#REF!</definedName>
    <definedName name="플랫폼">#REF!</definedName>
    <definedName name="협력사POOL">'[1]1.필수작성'!$T$23:$T$27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24" l="1"/>
  <c r="G61" i="24"/>
  <c r="G62" i="24"/>
  <c r="K62" i="24" s="1"/>
  <c r="I60" i="24"/>
  <c r="K60" i="24"/>
  <c r="M60" i="24"/>
  <c r="I61" i="24"/>
  <c r="I62" i="24" l="1"/>
  <c r="M61" i="24"/>
  <c r="M62" i="24"/>
  <c r="K61" i="24"/>
  <c r="C11" i="15"/>
  <c r="D11" i="15" s="1"/>
  <c r="C12" i="15"/>
  <c r="D12" i="15" s="1"/>
  <c r="C13" i="15"/>
  <c r="D13" i="15" s="1"/>
  <c r="C14" i="15"/>
  <c r="D14" i="15" s="1"/>
  <c r="C15" i="15"/>
  <c r="D15" i="15" s="1"/>
  <c r="C16" i="15"/>
  <c r="D16" i="15" s="1"/>
  <c r="C17" i="15"/>
  <c r="D17" i="15" s="1"/>
  <c r="C18" i="15"/>
  <c r="D18" i="15" s="1"/>
  <c r="C19" i="15"/>
  <c r="D19" i="15" s="1"/>
  <c r="C20" i="15"/>
  <c r="D20" i="15" s="1"/>
  <c r="C5" i="15"/>
  <c r="D5" i="15" s="1"/>
  <c r="C6" i="15"/>
  <c r="D6" i="15" s="1"/>
  <c r="C7" i="15"/>
  <c r="D7" i="15" s="1"/>
  <c r="C8" i="15"/>
  <c r="D8" i="15" s="1"/>
  <c r="C9" i="15"/>
  <c r="D9" i="15" s="1"/>
  <c r="C10" i="15"/>
  <c r="D10" i="15" s="1"/>
  <c r="C4" i="15"/>
  <c r="D4" i="15" s="1"/>
  <c r="E5" i="15" l="1"/>
  <c r="E6" i="15"/>
  <c r="E7" i="15"/>
  <c r="E8" i="15"/>
  <c r="E9" i="15"/>
  <c r="E10" i="15"/>
  <c r="E11" i="15"/>
  <c r="E12" i="15"/>
  <c r="E13" i="15"/>
  <c r="E14" i="15"/>
  <c r="E15" i="15"/>
  <c r="E16" i="15"/>
  <c r="E17" i="15"/>
  <c r="E18" i="15"/>
  <c r="E19" i="15"/>
  <c r="E20" i="15"/>
  <c r="E4" i="15"/>
  <c r="D56" i="2" l="1"/>
  <c r="D52" i="2"/>
  <c r="D48" i="2"/>
  <c r="D55" i="2"/>
  <c r="D47" i="2"/>
  <c r="D58" i="2"/>
  <c r="D54" i="2"/>
  <c r="D50" i="2"/>
  <c r="D46" i="2"/>
  <c r="D60" i="2"/>
  <c r="D59" i="2"/>
  <c r="D51" i="2"/>
  <c r="D44" i="2"/>
  <c r="D57" i="2"/>
  <c r="D53" i="2"/>
  <c r="D49" i="2"/>
  <c r="D45" i="2"/>
  <c r="F14" i="22"/>
  <c r="O4" i="23" l="1"/>
  <c r="O5" i="23"/>
  <c r="O2" i="23"/>
  <c r="N93" i="23" l="1"/>
  <c r="C40" i="25"/>
  <c r="G34" i="25"/>
  <c r="F34" i="25"/>
  <c r="E34" i="25"/>
  <c r="D34" i="25"/>
  <c r="C34" i="25"/>
  <c r="G28" i="25"/>
  <c r="F28" i="25"/>
  <c r="E28" i="25"/>
  <c r="D28" i="25"/>
  <c r="C28" i="25"/>
  <c r="D35" i="25" l="1"/>
  <c r="D29" i="25"/>
  <c r="C41" i="25"/>
  <c r="E44" i="25" l="1"/>
  <c r="E42" i="25"/>
  <c r="E40" i="25"/>
  <c r="E46" i="25" s="1"/>
  <c r="E45" i="25"/>
  <c r="E41" i="25"/>
  <c r="C62" i="2"/>
  <c r="E43" i="25" l="1"/>
  <c r="N40" i="23"/>
  <c r="N41" i="23"/>
  <c r="N42" i="23"/>
  <c r="N43" i="23"/>
  <c r="N44" i="23"/>
  <c r="N45" i="23"/>
  <c r="N46" i="23"/>
  <c r="N47" i="23"/>
  <c r="N48" i="23"/>
  <c r="N49" i="23"/>
  <c r="B2" i="24"/>
  <c r="E90" i="24"/>
  <c r="E88" i="24"/>
  <c r="J50" i="24"/>
  <c r="I50" i="24"/>
  <c r="I51" i="24" s="1"/>
  <c r="H50" i="24"/>
  <c r="G50" i="24"/>
  <c r="G51" i="24" s="1"/>
  <c r="H85" i="24"/>
  <c r="G71" i="24"/>
  <c r="M71" i="24" s="1"/>
  <c r="G70" i="24"/>
  <c r="M70" i="24" s="1"/>
  <c r="G69" i="24"/>
  <c r="M69" i="24" s="1"/>
  <c r="F48" i="24"/>
  <c r="J49" i="24" s="1"/>
  <c r="L43" i="24"/>
  <c r="C33" i="24"/>
  <c r="J33" i="24" s="1"/>
  <c r="G33" i="24" l="1"/>
  <c r="H33" i="24"/>
  <c r="K33" i="24"/>
  <c r="G49" i="24"/>
  <c r="L33" i="24"/>
  <c r="H49" i="24"/>
  <c r="F50" i="24"/>
  <c r="H51" i="24"/>
  <c r="I43" i="24"/>
  <c r="F43" i="24"/>
  <c r="J43" i="24"/>
  <c r="J51" i="24"/>
  <c r="I69" i="24"/>
  <c r="I70" i="24"/>
  <c r="I71" i="24"/>
  <c r="G43" i="24"/>
  <c r="K43" i="24"/>
  <c r="I49" i="24"/>
  <c r="K69" i="24"/>
  <c r="K70" i="24"/>
  <c r="K71" i="24"/>
  <c r="I33" i="24"/>
  <c r="F33" i="24"/>
  <c r="H43" i="24"/>
  <c r="N94" i="23"/>
  <c r="N92" i="23"/>
  <c r="N91" i="23"/>
  <c r="N90" i="23"/>
  <c r="N89" i="23"/>
  <c r="N88" i="23"/>
  <c r="N87" i="23"/>
  <c r="N86" i="23"/>
  <c r="N85" i="23"/>
  <c r="N84" i="23"/>
  <c r="N83" i="23"/>
  <c r="N82" i="23"/>
  <c r="N81" i="23"/>
  <c r="N80" i="23"/>
  <c r="N79" i="23"/>
  <c r="N78" i="23"/>
  <c r="N77" i="23"/>
  <c r="N76" i="23"/>
  <c r="N75" i="23"/>
  <c r="N74" i="23"/>
  <c r="N73" i="23"/>
  <c r="N72" i="23"/>
  <c r="N71" i="23"/>
  <c r="N70" i="23"/>
  <c r="N69" i="23"/>
  <c r="N68" i="23"/>
  <c r="N67" i="23"/>
  <c r="N66" i="23"/>
  <c r="N65" i="23"/>
  <c r="N64" i="23"/>
  <c r="N63" i="23"/>
  <c r="N62" i="23"/>
  <c r="N61" i="23"/>
  <c r="N59" i="23"/>
  <c r="N58" i="23"/>
  <c r="N57" i="23"/>
  <c r="N56" i="23"/>
  <c r="N55" i="23"/>
  <c r="N54" i="23"/>
  <c r="N53" i="23"/>
  <c r="I11" i="23" s="1"/>
  <c r="E15" i="25" s="1"/>
  <c r="N52" i="23"/>
  <c r="N51" i="23"/>
  <c r="N50" i="23"/>
  <c r="N39" i="23"/>
  <c r="N38" i="23"/>
  <c r="N37" i="23"/>
  <c r="N36" i="23"/>
  <c r="N35" i="23"/>
  <c r="N34" i="23"/>
  <c r="N33" i="23"/>
  <c r="N32" i="23"/>
  <c r="N31" i="23"/>
  <c r="N30" i="23"/>
  <c r="N29" i="23"/>
  <c r="N26" i="23"/>
  <c r="J11" i="23"/>
  <c r="F15" i="25" s="1"/>
  <c r="H11" i="23"/>
  <c r="D15" i="25" s="1"/>
  <c r="M6" i="23"/>
  <c r="L12" i="24" s="1"/>
  <c r="L24" i="24" s="1"/>
  <c r="L6" i="23"/>
  <c r="K12" i="24" s="1"/>
  <c r="K6" i="23"/>
  <c r="J12" i="24" s="1"/>
  <c r="J24" i="24" s="1"/>
  <c r="J6" i="23"/>
  <c r="I12" i="24" s="1"/>
  <c r="I24" i="24" s="1"/>
  <c r="I6" i="23"/>
  <c r="H12" i="24" s="1"/>
  <c r="H24" i="24" s="1"/>
  <c r="H6" i="23"/>
  <c r="G12" i="24" s="1"/>
  <c r="G24" i="24" s="1"/>
  <c r="G6" i="23"/>
  <c r="F12" i="24" s="1"/>
  <c r="F24" i="24" s="1"/>
  <c r="M5" i="23"/>
  <c r="L11" i="24" s="1"/>
  <c r="L23" i="24" s="1"/>
  <c r="L5" i="23"/>
  <c r="K11" i="24" s="1"/>
  <c r="K23" i="24" s="1"/>
  <c r="K5" i="23"/>
  <c r="J11" i="24" s="1"/>
  <c r="J23" i="24" s="1"/>
  <c r="J5" i="23"/>
  <c r="I11" i="24" s="1"/>
  <c r="I23" i="24" s="1"/>
  <c r="I5" i="23"/>
  <c r="H11" i="24" s="1"/>
  <c r="H23" i="24" s="1"/>
  <c r="H5" i="23"/>
  <c r="G11" i="24" s="1"/>
  <c r="G23" i="24" s="1"/>
  <c r="G5" i="23"/>
  <c r="F11" i="24" s="1"/>
  <c r="F23" i="24" s="1"/>
  <c r="M4" i="23"/>
  <c r="L10" i="24" s="1"/>
  <c r="L22" i="24" s="1"/>
  <c r="L4" i="23"/>
  <c r="K10" i="24" s="1"/>
  <c r="K4" i="23"/>
  <c r="J10" i="24" s="1"/>
  <c r="J22" i="24" s="1"/>
  <c r="J4" i="23"/>
  <c r="I10" i="24" s="1"/>
  <c r="I22" i="24" s="1"/>
  <c r="I4" i="23"/>
  <c r="H10" i="24" s="1"/>
  <c r="H22" i="24" s="1"/>
  <c r="H4" i="23"/>
  <c r="G10" i="24" s="1"/>
  <c r="G22" i="24" s="1"/>
  <c r="G4" i="23"/>
  <c r="F10" i="24" s="1"/>
  <c r="F22" i="24" s="1"/>
  <c r="M3" i="23"/>
  <c r="L9" i="24" s="1"/>
  <c r="L21" i="24" s="1"/>
  <c r="L3" i="23"/>
  <c r="K9" i="24" s="1"/>
  <c r="K21" i="24" s="1"/>
  <c r="K3" i="23"/>
  <c r="J9" i="24" s="1"/>
  <c r="J21" i="24" s="1"/>
  <c r="J3" i="23"/>
  <c r="I9" i="24" s="1"/>
  <c r="I21" i="24" s="1"/>
  <c r="I3" i="23"/>
  <c r="H9" i="24" s="1"/>
  <c r="H21" i="24" s="1"/>
  <c r="H3" i="23"/>
  <c r="G9" i="24" s="1"/>
  <c r="G21" i="24" s="1"/>
  <c r="G3" i="23"/>
  <c r="K11" i="23" l="1"/>
  <c r="G15" i="25" s="1"/>
  <c r="F51" i="24"/>
  <c r="J25" i="24"/>
  <c r="E23" i="24"/>
  <c r="H25" i="24"/>
  <c r="L25" i="24"/>
  <c r="J13" i="24"/>
  <c r="I25" i="24"/>
  <c r="D22" i="24"/>
  <c r="D24" i="24"/>
  <c r="G44" i="24"/>
  <c r="H35" i="24"/>
  <c r="D23" i="24"/>
  <c r="D12" i="24"/>
  <c r="I44" i="24"/>
  <c r="G13" i="24"/>
  <c r="H44" i="24"/>
  <c r="I35" i="24"/>
  <c r="J44" i="24"/>
  <c r="K34" i="24"/>
  <c r="J34" i="24"/>
  <c r="I13" i="24"/>
  <c r="I34" i="24"/>
  <c r="K22" i="24"/>
  <c r="E22" i="24" s="1"/>
  <c r="E10" i="24"/>
  <c r="K24" i="24"/>
  <c r="E24" i="24" s="1"/>
  <c r="E12" i="24"/>
  <c r="J35" i="24"/>
  <c r="L13" i="24"/>
  <c r="F44" i="24"/>
  <c r="K13" i="24"/>
  <c r="E9" i="24"/>
  <c r="D10" i="24"/>
  <c r="K35" i="24"/>
  <c r="L35" i="24"/>
  <c r="F35" i="24"/>
  <c r="K44" i="24"/>
  <c r="H13" i="24"/>
  <c r="D11" i="24"/>
  <c r="G34" i="24"/>
  <c r="E11" i="24"/>
  <c r="H34" i="24"/>
  <c r="G35" i="24"/>
  <c r="L34" i="24"/>
  <c r="L44" i="24"/>
  <c r="G7" i="23"/>
  <c r="F9" i="24"/>
  <c r="K7" i="23"/>
  <c r="F13" i="22"/>
  <c r="E89" i="24"/>
  <c r="G25" i="24"/>
  <c r="E21" i="24"/>
  <c r="G11" i="23"/>
  <c r="C15" i="25" s="1"/>
  <c r="M7" i="23"/>
  <c r="F5" i="23"/>
  <c r="I7" i="23"/>
  <c r="F4" i="23"/>
  <c r="J7" i="23"/>
  <c r="F6" i="23"/>
  <c r="H7" i="23"/>
  <c r="L7" i="23"/>
  <c r="F3" i="23"/>
  <c r="N7" i="23"/>
  <c r="E34" i="24" l="1"/>
  <c r="C10" i="24"/>
  <c r="H36" i="24"/>
  <c r="C23" i="24"/>
  <c r="E25" i="24"/>
  <c r="K36" i="24"/>
  <c r="C22" i="24"/>
  <c r="K25" i="24"/>
  <c r="C16" i="25"/>
  <c r="E16" i="25"/>
  <c r="F16" i="25"/>
  <c r="D16" i="25"/>
  <c r="G16" i="25"/>
  <c r="C24" i="24"/>
  <c r="E13" i="24"/>
  <c r="J36" i="24"/>
  <c r="C11" i="24"/>
  <c r="E44" i="24"/>
  <c r="D35" i="24"/>
  <c r="E35" i="24"/>
  <c r="I36" i="24"/>
  <c r="C12" i="24"/>
  <c r="D44" i="24"/>
  <c r="L36" i="24"/>
  <c r="G36" i="24"/>
  <c r="F21" i="24"/>
  <c r="F13" i="24"/>
  <c r="F34" i="24"/>
  <c r="D9" i="24"/>
  <c r="F7" i="23"/>
  <c r="E36" i="24" l="1"/>
  <c r="C44" i="24"/>
  <c r="C17" i="25"/>
  <c r="C35" i="24"/>
  <c r="C9" i="24"/>
  <c r="C13" i="24" s="1"/>
  <c r="E4" i="24" s="1"/>
  <c r="D13" i="24"/>
  <c r="D34" i="24"/>
  <c r="F36" i="24"/>
  <c r="F25" i="24"/>
  <c r="D21" i="24"/>
  <c r="G68" i="24" l="1"/>
  <c r="D36" i="24"/>
  <c r="C34" i="24"/>
  <c r="C36" i="24" s="1"/>
  <c r="E28" i="24" s="1"/>
  <c r="C21" i="24"/>
  <c r="C25" i="24" s="1"/>
  <c r="M8" i="23" s="1"/>
  <c r="D25" i="24"/>
  <c r="I59" i="24" l="1"/>
  <c r="M59" i="24"/>
  <c r="K59" i="24"/>
  <c r="C26" i="24"/>
  <c r="F49" i="24"/>
  <c r="D15" i="24"/>
  <c r="E9" i="2"/>
  <c r="C45" i="2" s="1"/>
  <c r="E10" i="2"/>
  <c r="C46" i="2" s="1"/>
  <c r="E11" i="2"/>
  <c r="C47" i="2" s="1"/>
  <c r="E12" i="2"/>
  <c r="E13" i="2"/>
  <c r="E14" i="2"/>
  <c r="E15" i="2"/>
  <c r="C51" i="2" s="1"/>
  <c r="E16" i="2"/>
  <c r="C52" i="2" s="1"/>
  <c r="E17" i="2"/>
  <c r="C53" i="2" s="1"/>
  <c r="E18" i="2"/>
  <c r="C54" i="2" s="1"/>
  <c r="E19" i="2"/>
  <c r="E20" i="2"/>
  <c r="E21" i="2"/>
  <c r="E22" i="2"/>
  <c r="E23" i="2"/>
  <c r="E24" i="2"/>
  <c r="E25" i="2"/>
  <c r="E26" i="2"/>
  <c r="E27" i="2"/>
  <c r="E28" i="2"/>
  <c r="E29" i="2"/>
  <c r="E30" i="2"/>
  <c r="E31" i="2"/>
  <c r="E32" i="2"/>
  <c r="E33" i="2"/>
  <c r="E8" i="2"/>
  <c r="F40" i="2"/>
  <c r="G40" i="2"/>
  <c r="H40" i="2"/>
  <c r="I40" i="2"/>
  <c r="J40" i="2"/>
  <c r="K40" i="2"/>
  <c r="L40" i="2"/>
  <c r="M40" i="2"/>
  <c r="N40" i="2"/>
  <c r="O40" i="2"/>
  <c r="P40" i="2"/>
  <c r="Q40" i="2"/>
  <c r="C50" i="2" l="1"/>
  <c r="C48" i="2"/>
  <c r="E55" i="24"/>
  <c r="K55" i="24" s="1"/>
  <c r="K56" i="24" s="1"/>
  <c r="C5" i="25"/>
  <c r="C55" i="2"/>
  <c r="C49" i="2"/>
  <c r="E34" i="2"/>
  <c r="I55" i="24" l="1"/>
  <c r="I56" i="24" s="1"/>
  <c r="I57" i="24" s="1"/>
  <c r="M55" i="24"/>
  <c r="M56" i="24" s="1"/>
  <c r="M57" i="24" s="1"/>
  <c r="G55" i="24"/>
  <c r="G56" i="24" s="1"/>
  <c r="G57" i="24" s="1"/>
  <c r="D10" i="25"/>
  <c r="C10" i="25" s="1"/>
  <c r="G58" i="24" s="1"/>
  <c r="K57" i="24"/>
  <c r="E56" i="24" l="1"/>
  <c r="E57" i="24" s="1"/>
  <c r="G67" i="24"/>
  <c r="C58" i="2"/>
  <c r="C59" i="2"/>
  <c r="E59" i="2" s="1"/>
  <c r="C60" i="2"/>
  <c r="E46" i="2"/>
  <c r="E47" i="2"/>
  <c r="E51" i="2"/>
  <c r="E52" i="2" l="1"/>
  <c r="E60" i="2"/>
  <c r="E58" i="2"/>
  <c r="E53" i="2"/>
  <c r="E45" i="2"/>
  <c r="E48" i="2"/>
  <c r="C57" i="2"/>
  <c r="E57" i="2" s="1"/>
  <c r="E35" i="2"/>
  <c r="E36" i="2"/>
  <c r="E37" i="2"/>
  <c r="E38" i="2"/>
  <c r="E39" i="2"/>
  <c r="C44" i="2" l="1"/>
  <c r="E44" i="2" s="1"/>
  <c r="C56" i="2"/>
  <c r="E56" i="2" s="1"/>
  <c r="E40" i="2"/>
  <c r="E50" i="2"/>
  <c r="E55" i="2"/>
  <c r="E54" i="2"/>
  <c r="E49" i="2"/>
  <c r="F61" i="2" l="1"/>
  <c r="D63" i="2" s="1"/>
  <c r="C61" i="2"/>
  <c r="H44" i="2" l="1"/>
  <c r="M68" i="24" l="1"/>
  <c r="K68" i="24"/>
  <c r="I68" i="24"/>
  <c r="N8" i="23"/>
  <c r="M67" i="24" l="1"/>
  <c r="M72" i="24" s="1"/>
  <c r="K67" i="24"/>
  <c r="K72" i="24" s="1"/>
  <c r="G72" i="24"/>
  <c r="I67" i="24"/>
  <c r="I72" i="24" s="1"/>
  <c r="K58" i="24"/>
  <c r="K63" i="24" s="1"/>
  <c r="M58" i="24"/>
  <c r="M63" i="24" s="1"/>
  <c r="G63" i="24"/>
  <c r="I58" i="24"/>
  <c r="I63" i="24" s="1"/>
  <c r="I73" i="24" l="1"/>
  <c r="I75" i="24"/>
  <c r="I74" i="24"/>
  <c r="G64" i="24"/>
  <c r="G66" i="24"/>
  <c r="G65" i="24"/>
  <c r="G73" i="24"/>
  <c r="G74" i="24"/>
  <c r="G75" i="24"/>
  <c r="M64" i="24"/>
  <c r="M66" i="24"/>
  <c r="M65" i="24"/>
  <c r="K73" i="24"/>
  <c r="K74" i="24"/>
  <c r="K75" i="24"/>
  <c r="I64" i="24"/>
  <c r="I65" i="24"/>
  <c r="I66" i="24"/>
  <c r="K64" i="24"/>
  <c r="K65" i="24"/>
  <c r="K66" i="24"/>
  <c r="M73" i="24"/>
  <c r="M75" i="24"/>
  <c r="M74" i="24"/>
  <c r="E73" i="24" l="1"/>
  <c r="E74" i="24"/>
  <c r="E65" i="24"/>
  <c r="E64" i="24"/>
  <c r="C49" i="25" s="1"/>
  <c r="D50" i="25" s="1"/>
  <c r="C51" i="25" s="1"/>
  <c r="C52" i="25" s="1"/>
  <c r="C53" i="25" s="1"/>
  <c r="E75" i="24"/>
  <c r="E66" i="24"/>
  <c r="E80" i="24" l="1"/>
  <c r="E81" i="24" s="1"/>
  <c r="E82" i="24" s="1"/>
  <c r="E83" i="24" s="1"/>
  <c r="E84" i="24"/>
  <c r="E85" i="24" s="1"/>
  <c r="E86" i="24" s="1"/>
  <c r="E92" i="24" l="1"/>
  <c r="E93" i="24" s="1"/>
  <c r="E8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vdi_admin</author>
    <author>김</author>
  </authors>
  <commentList>
    <comment ref="P10" authorId="0" shapeId="0" xr:uid="{00000000-0006-0000-0000-000001000000}">
      <text>
        <r>
          <rPr>
            <b/>
            <sz val="9"/>
            <color indexed="81"/>
            <rFont val="Tahoma"/>
            <family val="2"/>
          </rPr>
          <t>vdi_admin:</t>
        </r>
        <r>
          <rPr>
            <sz val="9"/>
            <color indexed="81"/>
            <rFont val="Tahoma"/>
            <family val="2"/>
          </rPr>
          <t xml:space="preserve">
</t>
        </r>
        <r>
          <rPr>
            <sz val="9"/>
            <color indexed="81"/>
            <rFont val="돋움"/>
            <family val="3"/>
            <charset val="129"/>
          </rPr>
          <t>연락처</t>
        </r>
        <r>
          <rPr>
            <sz val="9"/>
            <color indexed="81"/>
            <rFont val="Tahoma"/>
            <family val="2"/>
          </rPr>
          <t xml:space="preserve"> </t>
        </r>
        <r>
          <rPr>
            <sz val="9"/>
            <color indexed="81"/>
            <rFont val="돋움"/>
            <family val="3"/>
            <charset val="129"/>
          </rPr>
          <t>기재요망</t>
        </r>
      </text>
    </comment>
    <comment ref="P11" authorId="0" shapeId="0" xr:uid="{00000000-0006-0000-0000-000002000000}">
      <text>
        <r>
          <rPr>
            <b/>
            <sz val="9"/>
            <color indexed="81"/>
            <rFont val="Tahoma"/>
            <family val="2"/>
          </rPr>
          <t>vdi_admin:</t>
        </r>
        <r>
          <rPr>
            <sz val="9"/>
            <color indexed="81"/>
            <rFont val="Tahoma"/>
            <family val="2"/>
          </rPr>
          <t xml:space="preserve">
</t>
        </r>
        <r>
          <rPr>
            <sz val="9"/>
            <color indexed="81"/>
            <rFont val="돋움"/>
            <family val="3"/>
            <charset val="129"/>
          </rPr>
          <t>연락처</t>
        </r>
        <r>
          <rPr>
            <sz val="9"/>
            <color indexed="81"/>
            <rFont val="Tahoma"/>
            <family val="2"/>
          </rPr>
          <t xml:space="preserve"> </t>
        </r>
        <r>
          <rPr>
            <sz val="9"/>
            <color indexed="81"/>
            <rFont val="돋움"/>
            <family val="3"/>
            <charset val="129"/>
          </rPr>
          <t>기재요망</t>
        </r>
      </text>
    </comment>
    <comment ref="F13" authorId="0" shapeId="0" xr:uid="{00000000-0006-0000-0000-000003000000}">
      <text>
        <r>
          <rPr>
            <b/>
            <sz val="9"/>
            <color indexed="81"/>
            <rFont val="Tahoma"/>
            <family val="2"/>
          </rPr>
          <t>vdi_admin:</t>
        </r>
        <r>
          <rPr>
            <sz val="9"/>
            <color indexed="81"/>
            <rFont val="Tahoma"/>
            <family val="2"/>
          </rPr>
          <t xml:space="preserve">
FP</t>
        </r>
        <r>
          <rPr>
            <sz val="9"/>
            <color indexed="81"/>
            <rFont val="돋움"/>
            <family val="3"/>
            <charset val="129"/>
          </rPr>
          <t>산정불가</t>
        </r>
        <r>
          <rPr>
            <sz val="9"/>
            <color indexed="81"/>
            <rFont val="Tahoma"/>
            <family val="2"/>
          </rPr>
          <t xml:space="preserve"> </t>
        </r>
        <r>
          <rPr>
            <sz val="9"/>
            <color indexed="81"/>
            <rFont val="돋움"/>
            <family val="3"/>
            <charset val="129"/>
          </rPr>
          <t>투입인력</t>
        </r>
        <r>
          <rPr>
            <sz val="9"/>
            <color indexed="81"/>
            <rFont val="Tahoma"/>
            <family val="2"/>
          </rPr>
          <t xml:space="preserve"> </t>
        </r>
        <r>
          <rPr>
            <sz val="9"/>
            <color indexed="81"/>
            <rFont val="돋움"/>
            <family val="3"/>
            <charset val="129"/>
          </rPr>
          <t>금액와
직접경비를</t>
        </r>
        <r>
          <rPr>
            <sz val="9"/>
            <color indexed="81"/>
            <rFont val="Tahoma"/>
            <family val="2"/>
          </rPr>
          <t xml:space="preserve"> </t>
        </r>
        <r>
          <rPr>
            <sz val="9"/>
            <color indexed="81"/>
            <rFont val="돋움"/>
            <family val="3"/>
            <charset val="129"/>
          </rPr>
          <t>뺀</t>
        </r>
        <r>
          <rPr>
            <sz val="9"/>
            <color indexed="81"/>
            <rFont val="Tahoma"/>
            <family val="2"/>
          </rPr>
          <t xml:space="preserve"> </t>
        </r>
        <r>
          <rPr>
            <sz val="9"/>
            <color indexed="81"/>
            <rFont val="돋움"/>
            <family val="3"/>
            <charset val="129"/>
          </rPr>
          <t>금액입니다</t>
        </r>
        <r>
          <rPr>
            <sz val="9"/>
            <color indexed="81"/>
            <rFont val="Tahoma"/>
            <family val="2"/>
          </rPr>
          <t>.</t>
        </r>
      </text>
    </comment>
    <comment ref="F14" authorId="0" shapeId="0" xr:uid="{00000000-0006-0000-0000-000004000000}">
      <text>
        <r>
          <rPr>
            <b/>
            <sz val="9"/>
            <color indexed="81"/>
            <rFont val="Tahoma"/>
            <family val="2"/>
          </rPr>
          <t xml:space="preserve">vdi_admin: </t>
        </r>
        <r>
          <rPr>
            <b/>
            <sz val="9"/>
            <color indexed="81"/>
            <rFont val="돋움"/>
            <family val="3"/>
            <charset val="129"/>
          </rPr>
          <t xml:space="preserve">작성가이드
</t>
        </r>
        <r>
          <rPr>
            <sz val="9"/>
            <color indexed="81"/>
            <rFont val="Tahoma"/>
            <family val="2"/>
          </rPr>
          <t xml:space="preserve">
MM</t>
        </r>
        <r>
          <rPr>
            <sz val="9"/>
            <color indexed="81"/>
            <rFont val="돋움"/>
            <family val="3"/>
            <charset val="129"/>
          </rPr>
          <t>선택시</t>
        </r>
        <r>
          <rPr>
            <sz val="9"/>
            <color indexed="81"/>
            <rFont val="Tahoma"/>
            <family val="2"/>
          </rPr>
          <t xml:space="preserve"> </t>
        </r>
        <r>
          <rPr>
            <sz val="9"/>
            <color indexed="81"/>
            <rFont val="돋움"/>
            <family val="3"/>
            <charset val="129"/>
          </rPr>
          <t>자동계산됨</t>
        </r>
        <r>
          <rPr>
            <sz val="9"/>
            <color indexed="81"/>
            <rFont val="Tahoma"/>
            <family val="2"/>
          </rPr>
          <t>.</t>
        </r>
      </text>
    </comment>
    <comment ref="G15" authorId="0" shapeId="0" xr:uid="{00000000-0006-0000-0000-000005000000}">
      <text>
        <r>
          <rPr>
            <b/>
            <sz val="9"/>
            <color indexed="81"/>
            <rFont val="Tahoma"/>
            <family val="2"/>
          </rPr>
          <t>vdi_admin:</t>
        </r>
        <r>
          <rPr>
            <sz val="9"/>
            <color indexed="81"/>
            <rFont val="Tahoma"/>
            <family val="2"/>
          </rPr>
          <t xml:space="preserve">
2012</t>
        </r>
        <r>
          <rPr>
            <sz val="9"/>
            <color indexed="81"/>
            <rFont val="돋움"/>
            <family val="3"/>
            <charset val="129"/>
          </rPr>
          <t>년</t>
        </r>
        <r>
          <rPr>
            <sz val="9"/>
            <color indexed="81"/>
            <rFont val="Tahoma"/>
            <family val="2"/>
          </rPr>
          <t xml:space="preserve"> KT MM</t>
        </r>
        <r>
          <rPr>
            <sz val="9"/>
            <color indexed="81"/>
            <rFont val="돋움"/>
            <family val="3"/>
            <charset val="129"/>
          </rPr>
          <t>의</t>
        </r>
        <r>
          <rPr>
            <sz val="9"/>
            <color indexed="81"/>
            <rFont val="Tahoma"/>
            <family val="2"/>
          </rPr>
          <t xml:space="preserve"> </t>
        </r>
        <r>
          <rPr>
            <sz val="9"/>
            <color indexed="81"/>
            <rFont val="돋움"/>
            <family val="3"/>
            <charset val="129"/>
          </rPr>
          <t>평균단가는</t>
        </r>
        <r>
          <rPr>
            <sz val="9"/>
            <color indexed="81"/>
            <rFont val="Tahoma"/>
            <family val="2"/>
          </rPr>
          <t xml:space="preserve"> 8,780,000 </t>
        </r>
        <r>
          <rPr>
            <sz val="9"/>
            <color indexed="81"/>
            <rFont val="돋움"/>
            <family val="3"/>
            <charset val="129"/>
          </rPr>
          <t>원</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투입인력</t>
        </r>
        <r>
          <rPr>
            <sz val="9"/>
            <color indexed="81"/>
            <rFont val="Tahoma"/>
            <family val="2"/>
          </rPr>
          <t xml:space="preserve"> </t>
        </r>
        <r>
          <rPr>
            <sz val="9"/>
            <color indexed="81"/>
            <rFont val="돋움"/>
            <family val="3"/>
            <charset val="129"/>
          </rPr>
          <t>대략</t>
        </r>
        <r>
          <rPr>
            <sz val="9"/>
            <color indexed="81"/>
            <rFont val="Tahoma"/>
            <family val="2"/>
          </rPr>
          <t xml:space="preserve"> </t>
        </r>
        <r>
          <rPr>
            <sz val="9"/>
            <color indexed="81"/>
            <rFont val="돋움"/>
            <family val="3"/>
            <charset val="129"/>
          </rPr>
          <t>산정</t>
        </r>
        <r>
          <rPr>
            <sz val="9"/>
            <color indexed="81"/>
            <rFont val="Tahoma"/>
            <family val="2"/>
          </rPr>
          <t xml:space="preserve"> </t>
        </r>
        <r>
          <rPr>
            <sz val="9"/>
            <color indexed="81"/>
            <rFont val="돋움"/>
            <family val="3"/>
            <charset val="129"/>
          </rPr>
          <t>작성하시면</t>
        </r>
        <r>
          <rPr>
            <sz val="9"/>
            <color indexed="81"/>
            <rFont val="Tahoma"/>
            <family val="2"/>
          </rPr>
          <t xml:space="preserve"> </t>
        </r>
        <r>
          <rPr>
            <sz val="9"/>
            <color indexed="81"/>
            <rFont val="돋움"/>
            <family val="3"/>
            <charset val="129"/>
          </rPr>
          <t>됩니다</t>
        </r>
        <r>
          <rPr>
            <sz val="9"/>
            <color indexed="81"/>
            <rFont val="Tahoma"/>
            <family val="2"/>
          </rPr>
          <t>.
(</t>
        </r>
        <r>
          <rPr>
            <sz val="9"/>
            <color indexed="81"/>
            <rFont val="돋움"/>
            <family val="3"/>
            <charset val="129"/>
          </rPr>
          <t>투자심의때</t>
        </r>
        <r>
          <rPr>
            <sz val="9"/>
            <color indexed="81"/>
            <rFont val="Tahoma"/>
            <family val="2"/>
          </rPr>
          <t xml:space="preserve"> </t>
        </r>
        <r>
          <rPr>
            <sz val="9"/>
            <color indexed="81"/>
            <rFont val="돋움"/>
            <family val="3"/>
            <charset val="129"/>
          </rPr>
          <t>적정성</t>
        </r>
        <r>
          <rPr>
            <sz val="9"/>
            <color indexed="81"/>
            <rFont val="Tahoma"/>
            <family val="2"/>
          </rPr>
          <t xml:space="preserve"> </t>
        </r>
        <r>
          <rPr>
            <sz val="9"/>
            <color indexed="81"/>
            <rFont val="돋움"/>
            <family val="3"/>
            <charset val="129"/>
          </rPr>
          <t>검토</t>
        </r>
        <r>
          <rPr>
            <sz val="9"/>
            <color indexed="81"/>
            <rFont val="Tahoma"/>
            <family val="2"/>
          </rPr>
          <t>)</t>
        </r>
      </text>
    </comment>
    <comment ref="F26" authorId="0" shapeId="0" xr:uid="{00000000-0006-0000-0000-000006000000}">
      <text>
        <r>
          <rPr>
            <b/>
            <sz val="9"/>
            <color indexed="81"/>
            <rFont val="Tahoma"/>
            <family val="2"/>
          </rPr>
          <t>vdi_admin:</t>
        </r>
        <r>
          <rPr>
            <sz val="9"/>
            <color indexed="81"/>
            <rFont val="Tahoma"/>
            <family val="2"/>
          </rPr>
          <t xml:space="preserve">
</t>
        </r>
        <r>
          <rPr>
            <sz val="9"/>
            <color indexed="81"/>
            <rFont val="돋움"/>
            <family val="3"/>
            <charset val="129"/>
          </rPr>
          <t>ㅇ신규개발</t>
        </r>
        <r>
          <rPr>
            <sz val="9"/>
            <color indexed="81"/>
            <rFont val="Tahoma"/>
            <family val="2"/>
          </rPr>
          <t xml:space="preserve"> : </t>
        </r>
        <r>
          <rPr>
            <sz val="9"/>
            <color indexed="81"/>
            <rFont val="돋움"/>
            <family val="3"/>
            <charset val="129"/>
          </rPr>
          <t>기존에</t>
        </r>
        <r>
          <rPr>
            <sz val="9"/>
            <color indexed="81"/>
            <rFont val="Tahoma"/>
            <family val="2"/>
          </rPr>
          <t xml:space="preserve"> </t>
        </r>
        <r>
          <rPr>
            <sz val="9"/>
            <color indexed="81"/>
            <rFont val="돋움"/>
            <family val="3"/>
            <charset val="129"/>
          </rPr>
          <t>없던</t>
        </r>
        <r>
          <rPr>
            <sz val="9"/>
            <color indexed="81"/>
            <rFont val="Tahoma"/>
            <family val="2"/>
          </rPr>
          <t xml:space="preserve"> </t>
        </r>
        <r>
          <rPr>
            <sz val="9"/>
            <color indexed="81"/>
            <rFont val="돋움"/>
            <family val="3"/>
            <charset val="129"/>
          </rPr>
          <t>새로운</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변경율</t>
        </r>
        <r>
          <rPr>
            <sz val="9"/>
            <color indexed="81"/>
            <rFont val="Tahoma"/>
            <family val="2"/>
          </rPr>
          <t xml:space="preserve"> 0)</t>
        </r>
        <r>
          <rPr>
            <sz val="9"/>
            <color indexed="81"/>
            <rFont val="돋움"/>
            <family val="3"/>
            <charset val="129"/>
          </rPr>
          <t xml:space="preserve">
ㅇ고도화개발</t>
        </r>
        <r>
          <rPr>
            <sz val="9"/>
            <color indexed="81"/>
            <rFont val="Tahoma"/>
            <family val="2"/>
          </rPr>
          <t xml:space="preserve"> : </t>
        </r>
        <r>
          <rPr>
            <sz val="9"/>
            <color indexed="81"/>
            <rFont val="돋움"/>
            <family val="3"/>
            <charset val="129"/>
          </rPr>
          <t>기존시스템</t>
        </r>
        <r>
          <rPr>
            <sz val="9"/>
            <color indexed="81"/>
            <rFont val="Tahoma"/>
            <family val="2"/>
          </rPr>
          <t xml:space="preserve"> </t>
        </r>
        <r>
          <rPr>
            <sz val="9"/>
            <color indexed="81"/>
            <rFont val="돋움"/>
            <family val="3"/>
            <charset val="129"/>
          </rPr>
          <t>고도화</t>
        </r>
        <r>
          <rPr>
            <sz val="9"/>
            <color indexed="81"/>
            <rFont val="Tahoma"/>
            <family val="2"/>
          </rPr>
          <t xml:space="preserve"> </t>
        </r>
        <r>
          <rPr>
            <sz val="9"/>
            <color indexed="81"/>
            <rFont val="돋움"/>
            <family val="3"/>
            <charset val="129"/>
          </rPr>
          <t>혹은</t>
        </r>
        <r>
          <rPr>
            <sz val="9"/>
            <color indexed="81"/>
            <rFont val="Tahoma"/>
            <family val="2"/>
          </rPr>
          <t xml:space="preserve"> </t>
        </r>
        <r>
          <rPr>
            <sz val="9"/>
            <color indexed="81"/>
            <rFont val="돋움"/>
            <family val="3"/>
            <charset val="129"/>
          </rPr>
          <t>신규기능</t>
        </r>
        <r>
          <rPr>
            <sz val="9"/>
            <color indexed="81"/>
            <rFont val="Tahoma"/>
            <family val="2"/>
          </rPr>
          <t xml:space="preserve"> </t>
        </r>
        <r>
          <rPr>
            <sz val="9"/>
            <color indexed="81"/>
            <rFont val="돋움"/>
            <family val="3"/>
            <charset val="129"/>
          </rPr>
          <t>개발</t>
        </r>
      </text>
    </comment>
    <comment ref="H26" authorId="1" shapeId="0" xr:uid="{00000000-0006-0000-0000-000007000000}">
      <text>
        <r>
          <rPr>
            <b/>
            <sz val="8"/>
            <color indexed="81"/>
            <rFont val="돋움"/>
            <family val="3"/>
            <charset val="129"/>
          </rPr>
          <t xml:space="preserve">vdi_admin:
</t>
        </r>
        <r>
          <rPr>
            <sz val="8"/>
            <color indexed="81"/>
            <rFont val="돋움"/>
            <family val="3"/>
            <charset val="129"/>
          </rPr>
          <t>1) MM기준 금액이 FP기준 금액을 초과하는 경우 : 1.XX로 조정
2) MM기준 금액이 FP기준 금액을 미달하는 경우 : 0.XX로 조정</t>
        </r>
        <r>
          <rPr>
            <b/>
            <sz val="9"/>
            <color indexed="81"/>
            <rFont val="돋움"/>
            <family val="3"/>
            <charset val="129"/>
          </rPr>
          <t xml:space="preserve">
</t>
        </r>
      </text>
    </comment>
    <comment ref="L26" authorId="0" shapeId="0" xr:uid="{00000000-0006-0000-0000-000008000000}">
      <text>
        <r>
          <rPr>
            <b/>
            <sz val="9"/>
            <color indexed="81"/>
            <rFont val="Tahoma"/>
            <family val="2"/>
          </rPr>
          <t>vdi_admin:</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개발대상</t>
        </r>
        <r>
          <rPr>
            <sz val="9"/>
            <color indexed="81"/>
            <rFont val="Tahoma"/>
            <family val="2"/>
          </rPr>
          <t xml:space="preserve"> </t>
        </r>
        <r>
          <rPr>
            <sz val="9"/>
            <color indexed="81"/>
            <rFont val="돋움"/>
            <family val="3"/>
            <charset val="129"/>
          </rPr>
          <t>데이타베이스</t>
        </r>
        <r>
          <rPr>
            <sz val="9"/>
            <color indexed="81"/>
            <rFont val="Tahoma"/>
            <family val="2"/>
          </rPr>
          <t>(DBMS)</t>
        </r>
        <r>
          <rPr>
            <sz val="9"/>
            <color indexed="81"/>
            <rFont val="돋움"/>
            <family val="3"/>
            <charset val="129"/>
          </rPr>
          <t>의</t>
        </r>
        <r>
          <rPr>
            <sz val="9"/>
            <color indexed="81"/>
            <rFont val="Tahoma"/>
            <family val="2"/>
          </rPr>
          <t xml:space="preserve"> </t>
        </r>
        <r>
          <rPr>
            <sz val="9"/>
            <color indexed="81"/>
            <rFont val="돋움"/>
            <family val="3"/>
            <charset val="129"/>
          </rPr>
          <t>테이블의</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테이블
필드수를</t>
        </r>
        <r>
          <rPr>
            <sz val="9"/>
            <color indexed="81"/>
            <rFont val="Tahoma"/>
            <family val="2"/>
          </rPr>
          <t xml:space="preserve"> </t>
        </r>
        <r>
          <rPr>
            <sz val="9"/>
            <color indexed="81"/>
            <rFont val="돋움"/>
            <family val="3"/>
            <charset val="129"/>
          </rPr>
          <t>입력하시면</t>
        </r>
        <r>
          <rPr>
            <sz val="9"/>
            <color indexed="81"/>
            <rFont val="Tahoma"/>
            <family val="2"/>
          </rPr>
          <t xml:space="preserve"> </t>
        </r>
        <r>
          <rPr>
            <sz val="9"/>
            <color indexed="81"/>
            <rFont val="돋움"/>
            <family val="3"/>
            <charset val="129"/>
          </rPr>
          <t>됩니다</t>
        </r>
        <r>
          <rPr>
            <sz val="9"/>
            <color indexed="81"/>
            <rFont val="Tahoma"/>
            <family val="2"/>
          </rPr>
          <t>.</t>
        </r>
      </text>
    </comment>
    <comment ref="N26" authorId="0" shapeId="0" xr:uid="{00000000-0006-0000-0000-000009000000}">
      <text>
        <r>
          <rPr>
            <b/>
            <sz val="9"/>
            <color indexed="81"/>
            <rFont val="Tahoma"/>
            <family val="2"/>
          </rPr>
          <t>vdi_admin:</t>
        </r>
        <r>
          <rPr>
            <sz val="9"/>
            <color indexed="81"/>
            <rFont val="Tahoma"/>
            <family val="2"/>
          </rPr>
          <t xml:space="preserve">
</t>
        </r>
        <r>
          <rPr>
            <sz val="9"/>
            <color indexed="81"/>
            <rFont val="돋움"/>
            <family val="3"/>
            <charset val="129"/>
          </rPr>
          <t>비용산정</t>
        </r>
        <r>
          <rPr>
            <sz val="9"/>
            <color indexed="81"/>
            <rFont val="Tahoma"/>
            <family val="2"/>
          </rPr>
          <t xml:space="preserve"> </t>
        </r>
        <r>
          <rPr>
            <sz val="9"/>
            <color indexed="81"/>
            <rFont val="돋움"/>
            <family val="3"/>
            <charset val="129"/>
          </rPr>
          <t>기준으로</t>
        </r>
        <r>
          <rPr>
            <sz val="9"/>
            <color indexed="81"/>
            <rFont val="Tahoma"/>
            <family val="2"/>
          </rPr>
          <t xml:space="preserve"> MM</t>
        </r>
        <r>
          <rPr>
            <sz val="9"/>
            <color indexed="81"/>
            <rFont val="돋움"/>
            <family val="3"/>
            <charset val="129"/>
          </rPr>
          <t>방식을</t>
        </r>
        <r>
          <rPr>
            <sz val="9"/>
            <color indexed="81"/>
            <rFont val="Tahoma"/>
            <family val="2"/>
          </rPr>
          <t xml:space="preserve"> </t>
        </r>
        <r>
          <rPr>
            <sz val="9"/>
            <color indexed="81"/>
            <rFont val="돋움"/>
            <family val="3"/>
            <charset val="129"/>
          </rPr>
          <t>적용한</t>
        </r>
        <r>
          <rPr>
            <sz val="9"/>
            <color indexed="81"/>
            <rFont val="Tahoma"/>
            <family val="2"/>
          </rPr>
          <t xml:space="preserve"> </t>
        </r>
        <r>
          <rPr>
            <sz val="9"/>
            <color indexed="81"/>
            <rFont val="돋움"/>
            <family val="3"/>
            <charset val="129"/>
          </rPr>
          <t>경우</t>
        </r>
        <r>
          <rPr>
            <sz val="9"/>
            <color indexed="81"/>
            <rFont val="Tahoma"/>
            <family val="2"/>
          </rPr>
          <t>, FP</t>
        </r>
        <r>
          <rPr>
            <sz val="9"/>
            <color indexed="81"/>
            <rFont val="돋움"/>
            <family val="3"/>
            <charset val="129"/>
          </rPr>
          <t>기준</t>
        </r>
        <r>
          <rPr>
            <sz val="9"/>
            <color indexed="81"/>
            <rFont val="Tahoma"/>
            <family val="2"/>
          </rPr>
          <t xml:space="preserve"> </t>
        </r>
        <r>
          <rPr>
            <sz val="9"/>
            <color indexed="81"/>
            <rFont val="돋움"/>
            <family val="3"/>
            <charset val="129"/>
          </rPr>
          <t>비용과</t>
        </r>
        <r>
          <rPr>
            <sz val="9"/>
            <color indexed="81"/>
            <rFont val="Tahoma"/>
            <family val="2"/>
          </rPr>
          <t xml:space="preserve"> </t>
        </r>
        <r>
          <rPr>
            <sz val="9"/>
            <color indexed="81"/>
            <rFont val="돋움"/>
            <family val="3"/>
            <charset val="129"/>
          </rPr>
          <t>차이가</t>
        </r>
        <r>
          <rPr>
            <sz val="9"/>
            <color indexed="81"/>
            <rFont val="Tahoma"/>
            <family val="2"/>
          </rPr>
          <t xml:space="preserve"> </t>
        </r>
        <r>
          <rPr>
            <sz val="9"/>
            <color indexed="81"/>
            <rFont val="돋움"/>
            <family val="3"/>
            <charset val="129"/>
          </rPr>
          <t>발생할</t>
        </r>
        <r>
          <rPr>
            <sz val="9"/>
            <color indexed="81"/>
            <rFont val="Tahoma"/>
            <family val="2"/>
          </rPr>
          <t xml:space="preserve"> </t>
        </r>
        <r>
          <rPr>
            <sz val="9"/>
            <color indexed="81"/>
            <rFont val="돋움"/>
            <family val="3"/>
            <charset val="129"/>
          </rPr>
          <t>경우에</t>
        </r>
        <r>
          <rPr>
            <sz val="9"/>
            <color indexed="81"/>
            <rFont val="Tahoma"/>
            <family val="2"/>
          </rPr>
          <t xml:space="preserve"> </t>
        </r>
        <r>
          <rPr>
            <sz val="9"/>
            <color indexed="81"/>
            <rFont val="돋움"/>
            <family val="3"/>
            <charset val="129"/>
          </rPr>
          <t>두가지</t>
        </r>
        <r>
          <rPr>
            <sz val="9"/>
            <color indexed="81"/>
            <rFont val="Tahoma"/>
            <family val="2"/>
          </rPr>
          <t xml:space="preserve"> </t>
        </r>
        <r>
          <rPr>
            <sz val="9"/>
            <color indexed="81"/>
            <rFont val="돋움"/>
            <family val="3"/>
            <charset val="129"/>
          </rPr>
          <t>비교대상</t>
        </r>
        <r>
          <rPr>
            <sz val="9"/>
            <color indexed="81"/>
            <rFont val="Tahoma"/>
            <family val="2"/>
          </rPr>
          <t xml:space="preserve"> </t>
        </r>
        <r>
          <rPr>
            <sz val="9"/>
            <color indexed="81"/>
            <rFont val="돋움"/>
            <family val="3"/>
            <charset val="129"/>
          </rPr>
          <t>금액을</t>
        </r>
        <r>
          <rPr>
            <sz val="9"/>
            <color indexed="81"/>
            <rFont val="Tahoma"/>
            <family val="2"/>
          </rPr>
          <t xml:space="preserve"> </t>
        </r>
        <r>
          <rPr>
            <sz val="9"/>
            <color indexed="81"/>
            <rFont val="돋움"/>
            <family val="3"/>
            <charset val="129"/>
          </rPr>
          <t>일치시키기</t>
        </r>
        <r>
          <rPr>
            <sz val="9"/>
            <color indexed="81"/>
            <rFont val="Tahoma"/>
            <family val="2"/>
          </rPr>
          <t xml:space="preserve"> </t>
        </r>
        <r>
          <rPr>
            <sz val="9"/>
            <color indexed="81"/>
            <rFont val="돋움"/>
            <family val="3"/>
            <charset val="129"/>
          </rPr>
          <t>위한</t>
        </r>
        <r>
          <rPr>
            <sz val="9"/>
            <color indexed="81"/>
            <rFont val="Tahoma"/>
            <family val="2"/>
          </rPr>
          <t xml:space="preserve"> </t>
        </r>
        <r>
          <rPr>
            <sz val="9"/>
            <color indexed="81"/>
            <rFont val="돋움"/>
            <family val="3"/>
            <charset val="129"/>
          </rPr>
          <t>사유를</t>
        </r>
        <r>
          <rPr>
            <sz val="9"/>
            <color indexed="81"/>
            <rFont val="Tahoma"/>
            <family val="2"/>
          </rPr>
          <t xml:space="preserve"> </t>
        </r>
        <r>
          <rPr>
            <sz val="9"/>
            <color indexed="81"/>
            <rFont val="돋움"/>
            <family val="3"/>
            <charset val="129"/>
          </rPr>
          <t xml:space="preserve">기술함
</t>
        </r>
      </text>
    </comment>
    <comment ref="H29" authorId="0" shapeId="0" xr:uid="{00000000-0006-0000-0000-00000A000000}">
      <text>
        <r>
          <rPr>
            <b/>
            <sz val="9"/>
            <color indexed="81"/>
            <rFont val="Tahoma"/>
            <family val="2"/>
          </rPr>
          <t>vdi_admin:</t>
        </r>
        <r>
          <rPr>
            <sz val="9"/>
            <color indexed="81"/>
            <rFont val="Tahoma"/>
            <family val="2"/>
          </rPr>
          <t xml:space="preserve">
</t>
        </r>
        <r>
          <rPr>
            <sz val="9"/>
            <color indexed="81"/>
            <rFont val="돋움"/>
            <family val="3"/>
            <charset val="129"/>
          </rPr>
          <t>업체명</t>
        </r>
        <r>
          <rPr>
            <sz val="9"/>
            <color indexed="81"/>
            <rFont val="Tahoma"/>
            <family val="2"/>
          </rPr>
          <t xml:space="preserve"> </t>
        </r>
        <r>
          <rPr>
            <sz val="9"/>
            <color indexed="81"/>
            <rFont val="돋움"/>
            <family val="3"/>
            <charset val="129"/>
          </rPr>
          <t>기재</t>
        </r>
        <r>
          <rPr>
            <sz val="9"/>
            <color indexed="81"/>
            <rFont val="Tahoma"/>
            <family val="2"/>
          </rPr>
          <t>:
KTDS or KTH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김종성</author>
  </authors>
  <commentList>
    <comment ref="G13" authorId="0" shapeId="0" xr:uid="{00000000-0006-0000-0100-000001000000}">
      <text>
        <r>
          <rPr>
            <sz val="10"/>
            <color indexed="8"/>
            <rFont val="굴림"/>
            <family val="3"/>
            <charset val="129"/>
          </rPr>
          <t>단위 프로세스에 의해 수해되는 입력, 수정, 삭제 기능</t>
        </r>
      </text>
    </comment>
    <comment ref="J13" authorId="0" shapeId="0" xr:uid="{00000000-0006-0000-0100-000002000000}">
      <text>
        <r>
          <rPr>
            <sz val="10"/>
            <color indexed="8"/>
            <rFont val="굴림"/>
            <family val="3"/>
            <charset val="129"/>
          </rPr>
          <t>단위 프로세스를 통하여 ILF 또는 EIF를 읽어서 어플리케이션 경계로 정보를 내보내는 기능으로, 다음과 같은 기능을 하나이상 포함하여야 한다.
1)수학공식이나 계산을 포함하거나, 
2)파생데이터를 만들거나, 
3)하나이상의 ILF를 유지하거나 
4)시스템의 동작을 변경하는 경우</t>
        </r>
      </text>
    </comment>
    <comment ref="K13" authorId="0" shapeId="0" xr:uid="{00000000-0006-0000-0100-000003000000}">
      <text>
        <r>
          <rPr>
            <sz val="10"/>
            <color indexed="8"/>
            <rFont val="굴림"/>
            <family val="3"/>
            <charset val="129"/>
          </rPr>
          <t>ILF 또는 EIF를 읽어서 어플리케이션 경계로 정보를 내보내는 기능으로, 다음과 같은 기능을 하나이상 포함해서는 안된다.
1)수학공식이나 계산을 포함하거나, 
2)파생데이터를 만들거나, 
3)하나이상의 ILF를 유지하거나 
4)시스템의 동작을 변경하는 경우</t>
        </r>
      </text>
    </comment>
    <comment ref="L13" authorId="0" shapeId="0" xr:uid="{00000000-0006-0000-0100-000004000000}">
      <text>
        <r>
          <rPr>
            <sz val="10"/>
            <color indexed="8"/>
            <rFont val="굴림"/>
            <family val="3"/>
            <charset val="129"/>
          </rPr>
          <t>개발 또는 유지보수 대상 프로젝트의 어플리케이션 경계내에서 유지되는 사용자가 인식가능한 논리파일임</t>
        </r>
      </text>
    </comment>
    <comment ref="M13" authorId="0" shapeId="0" xr:uid="{00000000-0006-0000-0100-000005000000}">
      <text>
        <r>
          <rPr>
            <sz val="10"/>
            <color indexed="8"/>
            <rFont val="굴림"/>
            <family val="3"/>
            <charset val="129"/>
          </rPr>
          <t>개발 또는 유지보수 대상 프로젝트의 어플리케이션 경계밖으로부터 경계내부로 들어오는 사용자가 인식가능한 논리파일로써, 측정대상 어플리케이션내부에서 참조만되고, 다른 어플리케이션경계내부에서 유지되는 논리파일을 말함</t>
        </r>
      </text>
    </comment>
    <comment ref="G14" authorId="0" shapeId="0" xr:uid="{00000000-0006-0000-0100-000006000000}">
      <text>
        <r>
          <rPr>
            <sz val="10"/>
            <color indexed="8"/>
            <rFont val="굴림"/>
            <family val="3"/>
            <charset val="129"/>
          </rPr>
          <t>화면, 트랜젝션파일 또는 EIF를 통해서 내부논리파일에 등록되는 기능을 말함</t>
        </r>
      </text>
    </comment>
    <comment ref="H14" authorId="0" shapeId="0" xr:uid="{00000000-0006-0000-0100-000007000000}">
      <text>
        <r>
          <rPr>
            <sz val="10"/>
            <color indexed="8"/>
            <rFont val="굴림"/>
            <family val="3"/>
            <charset val="129"/>
          </rPr>
          <t>화면, 트랜젝션파일 또는 EIF를 통해서 내부논리파일을 수정하는 기능을 말함</t>
        </r>
      </text>
    </comment>
    <comment ref="I14" authorId="0" shapeId="0" xr:uid="{00000000-0006-0000-0100-000008000000}">
      <text>
        <r>
          <rPr>
            <sz val="10"/>
            <color indexed="8"/>
            <rFont val="굴림"/>
            <family val="3"/>
            <charset val="129"/>
          </rPr>
          <t>화면, 트랜젝션파일 또는 EIF를 통해서 내부논리파일을 삭제하는 기능을 말함.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vdi_admin</author>
  </authors>
  <commentList>
    <comment ref="E82" authorId="0" shapeId="0" xr:uid="{00000000-0006-0000-0200-000001000000}">
      <text>
        <r>
          <rPr>
            <b/>
            <sz val="9"/>
            <color indexed="81"/>
            <rFont val="Tahoma"/>
            <family val="2"/>
          </rPr>
          <t>vdi_admin:</t>
        </r>
        <r>
          <rPr>
            <sz val="9"/>
            <color indexed="81"/>
            <rFont val="Tahoma"/>
            <family val="2"/>
          </rPr>
          <t xml:space="preserve">
</t>
        </r>
        <r>
          <rPr>
            <sz val="9"/>
            <color indexed="81"/>
            <rFont val="돋움"/>
            <family val="3"/>
            <charset val="129"/>
          </rPr>
          <t>일반적인</t>
        </r>
        <r>
          <rPr>
            <sz val="9"/>
            <color indexed="81"/>
            <rFont val="Tahoma"/>
            <family val="2"/>
          </rPr>
          <t xml:space="preserve"> </t>
        </r>
        <r>
          <rPr>
            <sz val="9"/>
            <color indexed="81"/>
            <rFont val="돋움"/>
            <family val="3"/>
            <charset val="129"/>
          </rPr>
          <t>개발사업의</t>
        </r>
        <r>
          <rPr>
            <sz val="9"/>
            <color indexed="81"/>
            <rFont val="Tahoma"/>
            <family val="2"/>
          </rPr>
          <t xml:space="preserve"> </t>
        </r>
        <r>
          <rPr>
            <sz val="9"/>
            <color indexed="81"/>
            <rFont val="돋움"/>
            <family val="3"/>
            <charset val="129"/>
          </rPr>
          <t>일반적인</t>
        </r>
        <r>
          <rPr>
            <sz val="9"/>
            <color indexed="81"/>
            <rFont val="Tahoma"/>
            <family val="2"/>
          </rPr>
          <t xml:space="preserve"> </t>
        </r>
        <r>
          <rPr>
            <sz val="9"/>
            <color indexed="81"/>
            <rFont val="돋움"/>
            <family val="3"/>
            <charset val="129"/>
          </rPr>
          <t>보정계수를</t>
        </r>
        <r>
          <rPr>
            <sz val="9"/>
            <color indexed="81"/>
            <rFont val="Tahoma"/>
            <family val="2"/>
          </rPr>
          <t xml:space="preserve"> </t>
        </r>
        <r>
          <rPr>
            <sz val="9"/>
            <color indexed="81"/>
            <rFont val="돋움"/>
            <family val="3"/>
            <charset val="129"/>
          </rPr>
          <t>적용했을시의</t>
        </r>
        <r>
          <rPr>
            <sz val="9"/>
            <color indexed="81"/>
            <rFont val="Tahoma"/>
            <family val="2"/>
          </rPr>
          <t xml:space="preserve"> </t>
        </r>
        <r>
          <rPr>
            <sz val="9"/>
            <color indexed="81"/>
            <rFont val="돋움"/>
            <family val="3"/>
            <charset val="129"/>
          </rPr>
          <t>산정되는</t>
        </r>
        <r>
          <rPr>
            <sz val="9"/>
            <color indexed="81"/>
            <rFont val="Tahoma"/>
            <family val="2"/>
          </rPr>
          <t xml:space="preserve"> </t>
        </r>
        <r>
          <rPr>
            <sz val="9"/>
            <color indexed="81"/>
            <rFont val="돋움"/>
            <family val="3"/>
            <charset val="129"/>
          </rPr>
          <t>금액입니다</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산출금액</t>
        </r>
        <r>
          <rPr>
            <sz val="9"/>
            <color indexed="81"/>
            <rFont val="Tahoma"/>
            <family val="2"/>
          </rPr>
          <t xml:space="preserve"> </t>
        </r>
        <r>
          <rPr>
            <sz val="9"/>
            <color indexed="81"/>
            <rFont val="돋움"/>
            <family val="3"/>
            <charset val="129"/>
          </rPr>
          <t>적정성</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검토시</t>
        </r>
        <r>
          <rPr>
            <sz val="9"/>
            <color indexed="81"/>
            <rFont val="Tahoma"/>
            <family val="2"/>
          </rPr>
          <t xml:space="preserve">  </t>
        </r>
        <r>
          <rPr>
            <sz val="9"/>
            <color indexed="81"/>
            <rFont val="돋움"/>
            <family val="3"/>
            <charset val="129"/>
          </rPr>
          <t>참고하시기</t>
        </r>
        <r>
          <rPr>
            <sz val="9"/>
            <color indexed="81"/>
            <rFont val="Tahoma"/>
            <family val="2"/>
          </rPr>
          <t xml:space="preserve"> </t>
        </r>
        <r>
          <rPr>
            <sz val="9"/>
            <color indexed="81"/>
            <rFont val="돋움"/>
            <family val="3"/>
            <charset val="129"/>
          </rPr>
          <t>바랍니다</t>
        </r>
        <r>
          <rPr>
            <sz val="9"/>
            <color indexed="81"/>
            <rFont val="Tahoma"/>
            <family val="2"/>
          </rPr>
          <t xml:space="preserve">.
</t>
        </r>
        <r>
          <rPr>
            <sz val="9"/>
            <color indexed="81"/>
            <rFont val="돋움"/>
            <family val="3"/>
            <charset val="129"/>
          </rPr>
          <t>부가세</t>
        </r>
        <r>
          <rPr>
            <sz val="9"/>
            <color indexed="81"/>
            <rFont val="Tahoma"/>
            <family val="2"/>
          </rPr>
          <t xml:space="preserve"> </t>
        </r>
        <r>
          <rPr>
            <sz val="9"/>
            <color indexed="81"/>
            <rFont val="돋움"/>
            <family val="3"/>
            <charset val="129"/>
          </rPr>
          <t>미포함금액</t>
        </r>
      </text>
    </comment>
    <comment ref="E92" authorId="0" shapeId="0" xr:uid="{00000000-0006-0000-0200-000002000000}">
      <text>
        <r>
          <rPr>
            <b/>
            <sz val="9"/>
            <color indexed="81"/>
            <rFont val="Tahoma"/>
            <family val="2"/>
          </rPr>
          <t xml:space="preserve">vdi_admin:
</t>
        </r>
        <r>
          <rPr>
            <sz val="9"/>
            <color indexed="81"/>
            <rFont val="Tahoma"/>
            <family val="2"/>
          </rPr>
          <t xml:space="preserve">
</t>
        </r>
        <r>
          <rPr>
            <sz val="9"/>
            <color indexed="81"/>
            <rFont val="돋움"/>
            <family val="3"/>
            <charset val="129"/>
          </rPr>
          <t>순수개발비</t>
        </r>
        <r>
          <rPr>
            <sz val="9"/>
            <color indexed="81"/>
            <rFont val="Tahoma"/>
            <family val="2"/>
          </rPr>
          <t xml:space="preserve"> + FP</t>
        </r>
        <r>
          <rPr>
            <sz val="9"/>
            <color indexed="81"/>
            <rFont val="돋움"/>
            <family val="3"/>
            <charset val="129"/>
          </rPr>
          <t>산정불가</t>
        </r>
        <r>
          <rPr>
            <sz val="9"/>
            <color indexed="81"/>
            <rFont val="Tahoma"/>
            <family val="2"/>
          </rPr>
          <t xml:space="preserve"> MM + </t>
        </r>
        <r>
          <rPr>
            <sz val="9"/>
            <color indexed="81"/>
            <rFont val="돋움"/>
            <family val="3"/>
            <charset val="129"/>
          </rPr>
          <t>직접경비</t>
        </r>
        <r>
          <rPr>
            <sz val="9"/>
            <color indexed="81"/>
            <rFont val="Tahoma"/>
            <family val="2"/>
          </rPr>
          <t xml:space="preserve"> + </t>
        </r>
        <r>
          <rPr>
            <sz val="9"/>
            <color indexed="81"/>
            <rFont val="돋움"/>
            <family val="3"/>
            <charset val="129"/>
          </rPr>
          <t>이윤이</t>
        </r>
        <r>
          <rPr>
            <sz val="9"/>
            <color indexed="81"/>
            <rFont val="Tahoma"/>
            <family val="2"/>
          </rPr>
          <t xml:space="preserve"> 
</t>
        </r>
        <r>
          <rPr>
            <sz val="9"/>
            <color indexed="81"/>
            <rFont val="돋움"/>
            <family val="3"/>
            <charset val="129"/>
          </rPr>
          <t>포함된</t>
        </r>
        <r>
          <rPr>
            <sz val="9"/>
            <color indexed="81"/>
            <rFont val="Tahoma"/>
            <family val="2"/>
          </rPr>
          <t xml:space="preserve"> </t>
        </r>
        <r>
          <rPr>
            <sz val="9"/>
            <color indexed="81"/>
            <rFont val="돋움"/>
            <family val="3"/>
            <charset val="129"/>
          </rPr>
          <t>금액입니다</t>
        </r>
        <r>
          <rPr>
            <sz val="9"/>
            <color indexed="81"/>
            <rFont val="Tahoma"/>
            <family val="2"/>
          </rPr>
          <t>. (</t>
        </r>
        <r>
          <rPr>
            <sz val="9"/>
            <color indexed="81"/>
            <rFont val="돋움"/>
            <family val="3"/>
            <charset val="129"/>
          </rPr>
          <t>부가세</t>
        </r>
        <r>
          <rPr>
            <sz val="9"/>
            <color indexed="81"/>
            <rFont val="Tahoma"/>
            <family val="2"/>
          </rPr>
          <t xml:space="preserve"> </t>
        </r>
        <r>
          <rPr>
            <sz val="9"/>
            <color indexed="81"/>
            <rFont val="돋움"/>
            <family val="3"/>
            <charset val="129"/>
          </rPr>
          <t>제외</t>
        </r>
        <r>
          <rPr>
            <sz val="9"/>
            <color indexed="81"/>
            <rFont val="Tahoma"/>
            <family val="2"/>
          </rPr>
          <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사용자</author>
    <author>vdi_admin</author>
  </authors>
  <commentList>
    <comment ref="C6" authorId="0" shapeId="0" xr:uid="{00000000-0006-0000-0300-000001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제경료</t>
        </r>
        <r>
          <rPr>
            <sz val="9"/>
            <color indexed="81"/>
            <rFont val="Tahoma"/>
            <family val="2"/>
          </rPr>
          <t xml:space="preserve"> : 100%, </t>
        </r>
        <r>
          <rPr>
            <sz val="9"/>
            <color indexed="81"/>
            <rFont val="돋움"/>
            <family val="3"/>
            <charset val="129"/>
          </rPr>
          <t>기술료</t>
        </r>
        <r>
          <rPr>
            <sz val="9"/>
            <color indexed="81"/>
            <rFont val="Tahoma"/>
            <family val="2"/>
          </rPr>
          <t xml:space="preserve"> : 20% </t>
        </r>
        <r>
          <rPr>
            <sz val="9"/>
            <color indexed="81"/>
            <rFont val="돋움"/>
            <family val="3"/>
            <charset val="129"/>
          </rPr>
          <t>적용시</t>
        </r>
        <r>
          <rPr>
            <sz val="9"/>
            <color indexed="81"/>
            <rFont val="Tahoma"/>
            <family val="2"/>
          </rPr>
          <t xml:space="preserve"> </t>
        </r>
        <r>
          <rPr>
            <sz val="9"/>
            <color indexed="81"/>
            <rFont val="돋움"/>
            <family val="3"/>
            <charset val="129"/>
          </rPr>
          <t>기준단가</t>
        </r>
      </text>
    </comment>
    <comment ref="C9" authorId="1" shapeId="0" xr:uid="{00000000-0006-0000-0300-000002000000}">
      <text>
        <r>
          <rPr>
            <b/>
            <sz val="9"/>
            <color indexed="81"/>
            <rFont val="Tahoma"/>
            <family val="2"/>
          </rPr>
          <t xml:space="preserve">vdi_admin:
</t>
        </r>
        <r>
          <rPr>
            <sz val="9"/>
            <color indexed="81"/>
            <rFont val="Tahoma"/>
            <family val="2"/>
          </rPr>
          <t xml:space="preserve">
</t>
        </r>
        <r>
          <rPr>
            <b/>
            <sz val="9"/>
            <color indexed="81"/>
            <rFont val="돋움"/>
            <family val="3"/>
            <charset val="129"/>
          </rPr>
          <t>아주</t>
        </r>
        <r>
          <rPr>
            <b/>
            <sz val="9"/>
            <color indexed="81"/>
            <rFont val="Tahoma"/>
            <family val="2"/>
          </rPr>
          <t xml:space="preserve"> </t>
        </r>
        <r>
          <rPr>
            <b/>
            <sz val="9"/>
            <color indexed="81"/>
            <rFont val="돋움"/>
            <family val="3"/>
            <charset val="129"/>
          </rPr>
          <t>중요함</t>
        </r>
        <r>
          <rPr>
            <sz val="9"/>
            <color indexed="81"/>
            <rFont val="돋움"/>
            <family val="3"/>
            <charset val="129"/>
          </rPr>
          <t xml:space="preserve">
단일</t>
        </r>
        <r>
          <rPr>
            <sz val="9"/>
            <color indexed="81"/>
            <rFont val="Tahoma"/>
            <family val="2"/>
          </rPr>
          <t xml:space="preserve"> </t>
        </r>
        <r>
          <rPr>
            <sz val="9"/>
            <color indexed="81"/>
            <rFont val="돋움"/>
            <family val="3"/>
            <charset val="129"/>
          </rPr>
          <t>서비스</t>
        </r>
        <r>
          <rPr>
            <sz val="9"/>
            <color indexed="81"/>
            <rFont val="Tahoma"/>
            <family val="2"/>
          </rPr>
          <t xml:space="preserve"> </t>
        </r>
        <r>
          <rPr>
            <sz val="9"/>
            <color indexed="81"/>
            <rFont val="돋움"/>
            <family val="3"/>
            <charset val="129"/>
          </rPr>
          <t>개발에</t>
        </r>
        <r>
          <rPr>
            <sz val="9"/>
            <color indexed="81"/>
            <rFont val="Tahoma"/>
            <family val="2"/>
          </rPr>
          <t xml:space="preserve"> </t>
        </r>
        <r>
          <rPr>
            <sz val="9"/>
            <color indexed="81"/>
            <rFont val="돋움"/>
            <family val="3"/>
            <charset val="129"/>
          </rPr>
          <t>총</t>
        </r>
        <r>
          <rPr>
            <sz val="9"/>
            <color indexed="81"/>
            <rFont val="Tahoma"/>
            <family val="2"/>
          </rPr>
          <t xml:space="preserve"> FP</t>
        </r>
        <r>
          <rPr>
            <sz val="9"/>
            <color indexed="81"/>
            <rFont val="돋움"/>
            <family val="3"/>
            <charset val="129"/>
          </rPr>
          <t>점수를</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함</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개발건을</t>
        </r>
        <r>
          <rPr>
            <sz val="9"/>
            <color indexed="81"/>
            <rFont val="Tahoma"/>
            <family val="2"/>
          </rPr>
          <t xml:space="preserve"> </t>
        </r>
        <r>
          <rPr>
            <sz val="9"/>
            <color indexed="81"/>
            <rFont val="돋움"/>
            <family val="3"/>
            <charset val="129"/>
          </rPr>
          <t>하나의</t>
        </r>
        <r>
          <rPr>
            <sz val="9"/>
            <color indexed="81"/>
            <rFont val="Tahoma"/>
            <family val="2"/>
          </rPr>
          <t xml:space="preserve"> FP</t>
        </r>
        <r>
          <rPr>
            <sz val="9"/>
            <color indexed="81"/>
            <rFont val="돋움"/>
            <family val="3"/>
            <charset val="129"/>
          </rPr>
          <t>로</t>
        </r>
        <r>
          <rPr>
            <sz val="9"/>
            <color indexed="81"/>
            <rFont val="Tahoma"/>
            <family val="2"/>
          </rPr>
          <t xml:space="preserve"> </t>
        </r>
        <r>
          <rPr>
            <sz val="9"/>
            <color indexed="81"/>
            <rFont val="돋움"/>
            <family val="3"/>
            <charset val="129"/>
          </rPr>
          <t>작성했다면</t>
        </r>
        <r>
          <rPr>
            <sz val="9"/>
            <color indexed="81"/>
            <rFont val="Tahoma"/>
            <family val="2"/>
          </rPr>
          <t xml:space="preserve"> </t>
        </r>
        <r>
          <rPr>
            <sz val="9"/>
            <color indexed="81"/>
            <rFont val="돋움"/>
            <family val="3"/>
            <charset val="129"/>
          </rPr>
          <t>다르게</t>
        </r>
        <r>
          <rPr>
            <sz val="9"/>
            <color indexed="81"/>
            <rFont val="Tahoma"/>
            <family val="2"/>
          </rPr>
          <t xml:space="preserve"> </t>
        </r>
        <r>
          <rPr>
            <sz val="9"/>
            <color indexed="81"/>
            <rFont val="돋움"/>
            <family val="3"/>
            <charset val="129"/>
          </rPr>
          <t>적용해야</t>
        </r>
        <r>
          <rPr>
            <sz val="9"/>
            <color indexed="81"/>
            <rFont val="Tahoma"/>
            <family val="2"/>
          </rPr>
          <t xml:space="preserve"> </t>
        </r>
        <r>
          <rPr>
            <sz val="9"/>
            <color indexed="81"/>
            <rFont val="돋움"/>
            <family val="3"/>
            <charset val="129"/>
          </rPr>
          <t>함</t>
        </r>
        <r>
          <rPr>
            <sz val="9"/>
            <color indexed="81"/>
            <rFont val="Tahoma"/>
            <family val="2"/>
          </rPr>
          <t xml:space="preserve">.
</t>
        </r>
        <r>
          <rPr>
            <sz val="9"/>
            <color indexed="81"/>
            <rFont val="돋움"/>
            <family val="3"/>
            <charset val="129"/>
          </rPr>
          <t>예시</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연관성이</t>
        </r>
        <r>
          <rPr>
            <sz val="9"/>
            <color indexed="81"/>
            <rFont val="Tahoma"/>
            <family val="2"/>
          </rPr>
          <t xml:space="preserve"> </t>
        </r>
        <r>
          <rPr>
            <sz val="9"/>
            <color indexed="81"/>
            <rFont val="돋움"/>
            <family val="3"/>
            <charset val="129"/>
          </rPr>
          <t>없는</t>
        </r>
        <r>
          <rPr>
            <sz val="9"/>
            <color indexed="81"/>
            <rFont val="Tahoma"/>
            <family val="2"/>
          </rPr>
          <t xml:space="preserve"> </t>
        </r>
        <r>
          <rPr>
            <sz val="9"/>
            <color indexed="81"/>
            <rFont val="돋움"/>
            <family val="3"/>
            <charset val="129"/>
          </rPr>
          <t>개발건을</t>
        </r>
        <r>
          <rPr>
            <sz val="9"/>
            <color indexed="81"/>
            <rFont val="Tahoma"/>
            <family val="2"/>
          </rPr>
          <t xml:space="preserve"> </t>
        </r>
        <r>
          <rPr>
            <sz val="9"/>
            <color indexed="81"/>
            <rFont val="돋움"/>
            <family val="3"/>
            <charset val="129"/>
          </rPr>
          <t>하나의</t>
        </r>
        <r>
          <rPr>
            <sz val="9"/>
            <color indexed="81"/>
            <rFont val="Tahoma"/>
            <family val="2"/>
          </rPr>
          <t xml:space="preserve"> FP</t>
        </r>
        <r>
          <rPr>
            <sz val="9"/>
            <color indexed="81"/>
            <rFont val="돋움"/>
            <family val="3"/>
            <charset val="129"/>
          </rPr>
          <t>양식으로</t>
        </r>
        <r>
          <rPr>
            <sz val="9"/>
            <color indexed="81"/>
            <rFont val="Tahoma"/>
            <family val="2"/>
          </rPr>
          <t xml:space="preserve"> </t>
        </r>
        <r>
          <rPr>
            <sz val="9"/>
            <color indexed="81"/>
            <rFont val="돋움"/>
            <family val="3"/>
            <charset val="129"/>
          </rPr>
          <t>작성했다고</t>
        </r>
        <r>
          <rPr>
            <sz val="9"/>
            <color indexed="81"/>
            <rFont val="Tahoma"/>
            <family val="2"/>
          </rPr>
          <t xml:space="preserve"> </t>
        </r>
        <r>
          <rPr>
            <sz val="9"/>
            <color indexed="81"/>
            <rFont val="돋움"/>
            <family val="3"/>
            <charset val="129"/>
          </rPr>
          <t xml:space="preserve">가정하면
</t>
        </r>
        <r>
          <rPr>
            <sz val="9"/>
            <color indexed="81"/>
            <rFont val="Tahoma"/>
            <family val="2"/>
          </rPr>
          <t>3</t>
        </r>
        <r>
          <rPr>
            <sz val="9"/>
            <color indexed="81"/>
            <rFont val="돋움"/>
            <family val="3"/>
            <charset val="129"/>
          </rPr>
          <t>개의</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개발건</t>
        </r>
        <r>
          <rPr>
            <sz val="9"/>
            <color indexed="81"/>
            <rFont val="Tahoma"/>
            <family val="2"/>
          </rPr>
          <t xml:space="preserve"> </t>
        </r>
        <r>
          <rPr>
            <sz val="9"/>
            <color indexed="81"/>
            <rFont val="돋움"/>
            <family val="3"/>
            <charset val="129"/>
          </rPr>
          <t>총</t>
        </r>
        <r>
          <rPr>
            <sz val="9"/>
            <color indexed="81"/>
            <rFont val="Tahoma"/>
            <family val="2"/>
          </rPr>
          <t xml:space="preserve"> </t>
        </r>
        <r>
          <rPr>
            <sz val="9"/>
            <color indexed="81"/>
            <rFont val="돋움"/>
            <family val="3"/>
            <charset val="129"/>
          </rPr>
          <t>기능점수가</t>
        </r>
        <r>
          <rPr>
            <sz val="9"/>
            <color indexed="81"/>
            <rFont val="Tahoma"/>
            <family val="2"/>
          </rPr>
          <t xml:space="preserve"> 800FP</t>
        </r>
        <r>
          <rPr>
            <sz val="9"/>
            <color indexed="81"/>
            <rFont val="돋움"/>
            <family val="3"/>
            <charset val="129"/>
          </rPr>
          <t>의</t>
        </r>
        <r>
          <rPr>
            <sz val="9"/>
            <color indexed="81"/>
            <rFont val="Tahoma"/>
            <family val="2"/>
          </rPr>
          <t xml:space="preserve"> </t>
        </r>
        <r>
          <rPr>
            <sz val="9"/>
            <color indexed="81"/>
            <rFont val="돋움"/>
            <family val="3"/>
            <charset val="129"/>
          </rPr>
          <t>점수가</t>
        </r>
        <r>
          <rPr>
            <sz val="9"/>
            <color indexed="81"/>
            <rFont val="Tahoma"/>
            <family val="2"/>
          </rPr>
          <t xml:space="preserve"> </t>
        </r>
        <r>
          <rPr>
            <sz val="9"/>
            <color indexed="81"/>
            <rFont val="돋움"/>
            <family val="3"/>
            <charset val="129"/>
          </rPr>
          <t>산정되었고
각각은</t>
        </r>
        <r>
          <rPr>
            <sz val="9"/>
            <color indexed="81"/>
            <rFont val="Tahoma"/>
            <family val="2"/>
          </rPr>
          <t xml:space="preserve"> </t>
        </r>
        <r>
          <rPr>
            <sz val="9"/>
            <color indexed="81"/>
            <rFont val="돋움"/>
            <family val="3"/>
            <charset val="129"/>
          </rPr>
          <t>약</t>
        </r>
        <r>
          <rPr>
            <sz val="9"/>
            <color indexed="81"/>
            <rFont val="Tahoma"/>
            <family val="2"/>
          </rPr>
          <t xml:space="preserve"> 260FP , 260FP, 280FP </t>
        </r>
        <r>
          <rPr>
            <sz val="9"/>
            <color indexed="81"/>
            <rFont val="돋움"/>
            <family val="3"/>
            <charset val="129"/>
          </rPr>
          <t>점수가</t>
        </r>
        <r>
          <rPr>
            <sz val="9"/>
            <color indexed="81"/>
            <rFont val="Tahoma"/>
            <family val="2"/>
          </rPr>
          <t xml:space="preserve"> </t>
        </r>
        <r>
          <rPr>
            <sz val="9"/>
            <color indexed="81"/>
            <rFont val="돋움"/>
            <family val="3"/>
            <charset val="129"/>
          </rPr>
          <t>산정되었다면
규모보정계수는</t>
        </r>
        <r>
          <rPr>
            <sz val="9"/>
            <color indexed="81"/>
            <rFont val="Tahoma"/>
            <family val="2"/>
          </rPr>
          <t xml:space="preserve"> 0.65</t>
        </r>
        <r>
          <rPr>
            <sz val="9"/>
            <color indexed="81"/>
            <rFont val="돋움"/>
            <family val="3"/>
            <charset val="129"/>
          </rPr>
          <t>를</t>
        </r>
        <r>
          <rPr>
            <sz val="9"/>
            <color indexed="81"/>
            <rFont val="Tahoma"/>
            <family val="2"/>
          </rPr>
          <t xml:space="preserve"> </t>
        </r>
        <r>
          <rPr>
            <sz val="9"/>
            <color indexed="81"/>
            <rFont val="돋움"/>
            <family val="3"/>
            <charset val="129"/>
          </rPr>
          <t>적용해야</t>
        </r>
        <r>
          <rPr>
            <sz val="9"/>
            <color indexed="81"/>
            <rFont val="Tahoma"/>
            <family val="2"/>
          </rPr>
          <t xml:space="preserve"> </t>
        </r>
        <r>
          <rPr>
            <sz val="9"/>
            <color indexed="81"/>
            <rFont val="돋움"/>
            <family val="3"/>
            <charset val="129"/>
          </rPr>
          <t>함</t>
        </r>
        <r>
          <rPr>
            <sz val="9"/>
            <color indexed="81"/>
            <rFont val="Tahoma"/>
            <family val="2"/>
          </rPr>
          <t>…(</t>
        </r>
        <r>
          <rPr>
            <sz val="9"/>
            <color indexed="81"/>
            <rFont val="돋움"/>
            <family val="3"/>
            <charset val="129"/>
          </rPr>
          <t>중요</t>
        </r>
        <r>
          <rPr>
            <sz val="9"/>
            <color indexed="81"/>
            <rFont val="Tahoma"/>
            <family val="2"/>
          </rPr>
          <t xml:space="preserve">) </t>
        </r>
      </text>
    </comment>
    <comment ref="D10" authorId="1" shapeId="0" xr:uid="{00000000-0006-0000-0300-000003000000}">
      <text>
        <r>
          <rPr>
            <b/>
            <sz val="9"/>
            <color indexed="81"/>
            <rFont val="Tahoma"/>
            <family val="2"/>
          </rPr>
          <t>vdi_admin:</t>
        </r>
        <r>
          <rPr>
            <sz val="9"/>
            <color indexed="81"/>
            <rFont val="Tahoma"/>
            <family val="2"/>
          </rPr>
          <t xml:space="preserve">
</t>
        </r>
        <r>
          <rPr>
            <sz val="9"/>
            <color indexed="81"/>
            <rFont val="돋움"/>
            <family val="3"/>
            <charset val="129"/>
          </rPr>
          <t>ㅇ</t>
        </r>
        <r>
          <rPr>
            <sz val="9"/>
            <color indexed="81"/>
            <rFont val="Tahoma"/>
            <family val="2"/>
          </rPr>
          <t xml:space="preserve">300FP </t>
        </r>
        <r>
          <rPr>
            <sz val="9"/>
            <color indexed="81"/>
            <rFont val="돋움"/>
            <family val="3"/>
            <charset val="129"/>
          </rPr>
          <t>이하이면</t>
        </r>
        <r>
          <rPr>
            <sz val="9"/>
            <color indexed="81"/>
            <rFont val="Tahoma"/>
            <family val="2"/>
          </rPr>
          <t xml:space="preserve"> </t>
        </r>
        <r>
          <rPr>
            <sz val="9"/>
            <color indexed="81"/>
            <rFont val="돋움"/>
            <family val="3"/>
            <charset val="129"/>
          </rPr>
          <t>권장값</t>
        </r>
        <r>
          <rPr>
            <sz val="9"/>
            <color indexed="81"/>
            <rFont val="Tahoma"/>
            <family val="2"/>
          </rPr>
          <t xml:space="preserve"> 0.65</t>
        </r>
        <r>
          <rPr>
            <sz val="9"/>
            <color indexed="81"/>
            <rFont val="돋움"/>
            <family val="3"/>
            <charset val="129"/>
          </rPr>
          <t xml:space="preserve">이고
</t>
        </r>
        <r>
          <rPr>
            <sz val="9"/>
            <color indexed="81"/>
            <rFont val="Tahoma"/>
            <family val="2"/>
          </rPr>
          <t xml:space="preserve">   </t>
        </r>
        <r>
          <rPr>
            <sz val="9"/>
            <color indexed="81"/>
            <rFont val="돋움"/>
            <family val="3"/>
            <charset val="129"/>
          </rPr>
          <t>심의자</t>
        </r>
        <r>
          <rPr>
            <sz val="9"/>
            <color indexed="81"/>
            <rFont val="Tahoma"/>
            <family val="2"/>
          </rPr>
          <t xml:space="preserve"> </t>
        </r>
        <r>
          <rPr>
            <sz val="9"/>
            <color indexed="81"/>
            <rFont val="돋움"/>
            <family val="3"/>
            <charset val="129"/>
          </rPr>
          <t>판단하에</t>
        </r>
        <r>
          <rPr>
            <sz val="9"/>
            <color indexed="81"/>
            <rFont val="Tahoma"/>
            <family val="2"/>
          </rPr>
          <t xml:space="preserve"> 0.8 </t>
        </r>
        <r>
          <rPr>
            <sz val="9"/>
            <color indexed="81"/>
            <rFont val="돋움"/>
            <family val="3"/>
            <charset val="129"/>
          </rPr>
          <t>미만값은</t>
        </r>
        <r>
          <rPr>
            <sz val="9"/>
            <color indexed="81"/>
            <rFont val="Tahoma"/>
            <family val="2"/>
          </rPr>
          <t xml:space="preserve"> </t>
        </r>
        <r>
          <rPr>
            <sz val="9"/>
            <color indexed="81"/>
            <rFont val="돋움"/>
            <family val="3"/>
            <charset val="129"/>
          </rPr>
          <t>입력가능</t>
        </r>
        <r>
          <rPr>
            <sz val="9"/>
            <color indexed="81"/>
            <rFont val="Tahoma"/>
            <family val="2"/>
          </rPr>
          <t xml:space="preserve"> </t>
        </r>
        <r>
          <rPr>
            <sz val="9"/>
            <color indexed="81"/>
            <rFont val="돋움"/>
            <family val="3"/>
            <charset val="129"/>
          </rPr>
          <t>해놓았음</t>
        </r>
        <r>
          <rPr>
            <sz val="9"/>
            <color indexed="81"/>
            <rFont val="Tahoma"/>
            <family val="2"/>
          </rPr>
          <t>--</t>
        </r>
        <r>
          <rPr>
            <sz val="9"/>
            <color indexed="81"/>
            <rFont val="돋움"/>
            <family val="3"/>
            <charset val="129"/>
          </rPr>
          <t>권고값</t>
        </r>
        <r>
          <rPr>
            <sz val="9"/>
            <color indexed="81"/>
            <rFont val="Tahoma"/>
            <family val="2"/>
          </rPr>
          <t xml:space="preserve"> 0.65</t>
        </r>
        <r>
          <rPr>
            <sz val="9"/>
            <color indexed="81"/>
            <rFont val="돋움"/>
            <family val="3"/>
            <charset val="129"/>
          </rPr>
          <t>임
ㅇ</t>
        </r>
        <r>
          <rPr>
            <sz val="9"/>
            <color indexed="81"/>
            <rFont val="Tahoma"/>
            <family val="2"/>
          </rPr>
          <t xml:space="preserve">300FP </t>
        </r>
        <r>
          <rPr>
            <sz val="9"/>
            <color indexed="81"/>
            <rFont val="돋움"/>
            <family val="3"/>
            <charset val="129"/>
          </rPr>
          <t>이상이면</t>
        </r>
        <r>
          <rPr>
            <sz val="9"/>
            <color indexed="81"/>
            <rFont val="Tahoma"/>
            <family val="2"/>
          </rPr>
          <t xml:space="preserve"> </t>
        </r>
        <r>
          <rPr>
            <sz val="9"/>
            <color indexed="81"/>
            <rFont val="돋움"/>
            <family val="3"/>
            <charset val="129"/>
          </rPr>
          <t>자동계산값</t>
        </r>
        <r>
          <rPr>
            <sz val="9"/>
            <color indexed="81"/>
            <rFont val="Tahoma"/>
            <family val="2"/>
          </rPr>
          <t xml:space="preserve"> </t>
        </r>
        <r>
          <rPr>
            <sz val="9"/>
            <color indexed="81"/>
            <rFont val="돋움"/>
            <family val="3"/>
            <charset val="129"/>
          </rPr>
          <t>이하</t>
        </r>
        <r>
          <rPr>
            <sz val="9"/>
            <color indexed="81"/>
            <rFont val="Tahoma"/>
            <family val="2"/>
          </rPr>
          <t xml:space="preserve"> </t>
        </r>
        <r>
          <rPr>
            <sz val="9"/>
            <color indexed="81"/>
            <rFont val="돋움"/>
            <family val="3"/>
            <charset val="129"/>
          </rPr>
          <t xml:space="preserve">입력가능하고
</t>
        </r>
        <r>
          <rPr>
            <sz val="9"/>
            <color indexed="81"/>
            <rFont val="Tahoma"/>
            <family val="2"/>
          </rPr>
          <t xml:space="preserve">   </t>
        </r>
        <r>
          <rPr>
            <sz val="9"/>
            <color indexed="81"/>
            <rFont val="돋움"/>
            <family val="3"/>
            <charset val="129"/>
          </rPr>
          <t>자동계산값이</t>
        </r>
        <r>
          <rPr>
            <sz val="9"/>
            <color indexed="81"/>
            <rFont val="Tahoma"/>
            <family val="2"/>
          </rPr>
          <t xml:space="preserve"> </t>
        </r>
        <r>
          <rPr>
            <sz val="9"/>
            <color indexed="81"/>
            <rFont val="돋움"/>
            <family val="3"/>
            <charset val="129"/>
          </rPr>
          <t>권장값임</t>
        </r>
        <r>
          <rPr>
            <sz val="9"/>
            <color indexed="81"/>
            <rFont val="Tahoma"/>
            <family val="2"/>
          </rPr>
          <t>.(</t>
        </r>
        <r>
          <rPr>
            <sz val="9"/>
            <color indexed="81"/>
            <rFont val="돋움"/>
            <family val="3"/>
            <charset val="129"/>
          </rPr>
          <t>산식</t>
        </r>
        <r>
          <rPr>
            <sz val="9"/>
            <color indexed="81"/>
            <rFont val="Tahoma"/>
            <family val="2"/>
          </rPr>
          <t xml:space="preserve">: 300FP </t>
        </r>
        <r>
          <rPr>
            <sz val="9"/>
            <color indexed="81"/>
            <rFont val="돋움"/>
            <family val="3"/>
            <charset val="129"/>
          </rPr>
          <t>이상이면</t>
        </r>
        <r>
          <rPr>
            <sz val="9"/>
            <color indexed="81"/>
            <rFont val="Tahoma"/>
            <family val="2"/>
          </rPr>
          <t xml:space="preserve"> 0.108 * log(</t>
        </r>
        <r>
          <rPr>
            <sz val="9"/>
            <color indexed="81"/>
            <rFont val="돋움"/>
            <family val="3"/>
            <charset val="129"/>
          </rPr>
          <t>기능점수</t>
        </r>
        <r>
          <rPr>
            <sz val="9"/>
            <color indexed="81"/>
            <rFont val="Tahoma"/>
            <family val="2"/>
          </rPr>
          <t xml:space="preserve">) + 0.2229 </t>
        </r>
        <r>
          <rPr>
            <sz val="9"/>
            <color indexed="81"/>
            <rFont val="돋움"/>
            <family val="3"/>
            <charset val="129"/>
          </rPr>
          <t>적용</t>
        </r>
        <r>
          <rPr>
            <sz val="9"/>
            <color indexed="81"/>
            <rFont val="Tahoma"/>
            <family val="2"/>
          </rPr>
          <t xml:space="preserve">)
    </t>
        </r>
        <r>
          <rPr>
            <sz val="9"/>
            <color indexed="81"/>
            <rFont val="돋움"/>
            <family val="3"/>
            <charset val="129"/>
          </rPr>
          <t>단</t>
        </r>
        <r>
          <rPr>
            <sz val="9"/>
            <color indexed="81"/>
            <rFont val="Tahoma"/>
            <family val="2"/>
          </rPr>
          <t xml:space="preserve">. </t>
        </r>
        <r>
          <rPr>
            <sz val="9"/>
            <color indexed="81"/>
            <rFont val="돋움"/>
            <family val="3"/>
            <charset val="129"/>
          </rPr>
          <t>단일</t>
        </r>
        <r>
          <rPr>
            <sz val="9"/>
            <color indexed="81"/>
            <rFont val="Tahoma"/>
            <family val="2"/>
          </rPr>
          <t xml:space="preserve"> </t>
        </r>
        <r>
          <rPr>
            <sz val="9"/>
            <color indexed="81"/>
            <rFont val="돋움"/>
            <family val="3"/>
            <charset val="129"/>
          </rPr>
          <t>개발건에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적용되면</t>
        </r>
        <r>
          <rPr>
            <sz val="9"/>
            <color indexed="81"/>
            <rFont val="Tahoma"/>
            <family val="2"/>
          </rPr>
          <t xml:space="preserve"> </t>
        </r>
        <r>
          <rPr>
            <sz val="9"/>
            <color indexed="81"/>
            <rFont val="돋움"/>
            <family val="3"/>
            <charset val="129"/>
          </rPr>
          <t>개별</t>
        </r>
        <r>
          <rPr>
            <sz val="9"/>
            <color indexed="81"/>
            <rFont val="Tahoma"/>
            <family val="2"/>
          </rPr>
          <t xml:space="preserve"> </t>
        </r>
        <r>
          <rPr>
            <sz val="9"/>
            <color indexed="81"/>
            <rFont val="돋움"/>
            <family val="3"/>
            <charset val="129"/>
          </rPr>
          <t>개발건</t>
        </r>
        <r>
          <rPr>
            <sz val="9"/>
            <color indexed="81"/>
            <rFont val="Tahoma"/>
            <family val="2"/>
          </rPr>
          <t>(</t>
        </r>
        <r>
          <rPr>
            <sz val="9"/>
            <color indexed="81"/>
            <rFont val="돋움"/>
            <family val="3"/>
            <charset val="129"/>
          </rPr>
          <t>연관성</t>
        </r>
        <r>
          <rPr>
            <sz val="9"/>
            <color indexed="81"/>
            <rFont val="Tahoma"/>
            <family val="2"/>
          </rPr>
          <t xml:space="preserve"> </t>
        </r>
        <r>
          <rPr>
            <sz val="9"/>
            <color indexed="81"/>
            <rFont val="돋움"/>
            <family val="3"/>
            <charset val="129"/>
          </rPr>
          <t>없는</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한</t>
        </r>
        <r>
          <rPr>
            <sz val="9"/>
            <color indexed="81"/>
            <rFont val="Tahoma"/>
            <family val="2"/>
          </rPr>
          <t>FP</t>
        </r>
        <r>
          <rPr>
            <sz val="9"/>
            <color indexed="81"/>
            <rFont val="돋움"/>
            <family val="3"/>
            <charset val="129"/>
          </rPr>
          <t>에</t>
        </r>
        <r>
          <rPr>
            <sz val="9"/>
            <color indexed="81"/>
            <rFont val="Tahoma"/>
            <family val="2"/>
          </rPr>
          <t xml:space="preserve"> </t>
        </r>
        <r>
          <rPr>
            <sz val="9"/>
            <color indexed="81"/>
            <rFont val="돋움"/>
            <family val="3"/>
            <charset val="129"/>
          </rPr>
          <t>넣었다면</t>
        </r>
        <r>
          <rPr>
            <sz val="9"/>
            <color indexed="81"/>
            <rFont val="Tahoma"/>
            <family val="2"/>
          </rPr>
          <t xml:space="preserve"> </t>
        </r>
        <r>
          <rPr>
            <sz val="9"/>
            <color indexed="81"/>
            <rFont val="돋움"/>
            <family val="3"/>
            <charset val="129"/>
          </rPr>
          <t>개별</t>
        </r>
        <r>
          <rPr>
            <sz val="9"/>
            <color indexed="81"/>
            <rFont val="Tahoma"/>
            <family val="2"/>
          </rPr>
          <t xml:space="preserve"> </t>
        </r>
        <r>
          <rPr>
            <sz val="9"/>
            <color indexed="81"/>
            <rFont val="돋움"/>
            <family val="3"/>
            <charset val="129"/>
          </rPr>
          <t>사업에</t>
        </r>
        <r>
          <rPr>
            <sz val="9"/>
            <color indexed="81"/>
            <rFont val="Tahoma"/>
            <family val="2"/>
          </rPr>
          <t xml:space="preserve"> </t>
        </r>
        <r>
          <rPr>
            <sz val="9"/>
            <color indexed="81"/>
            <rFont val="돋움"/>
            <family val="3"/>
            <charset val="129"/>
          </rPr>
          <t xml:space="preserve">대한
</t>
        </r>
        <r>
          <rPr>
            <sz val="9"/>
            <color indexed="81"/>
            <rFont val="Tahoma"/>
            <family val="2"/>
          </rPr>
          <t xml:space="preserve">    </t>
        </r>
        <r>
          <rPr>
            <sz val="9"/>
            <color indexed="81"/>
            <rFont val="돋움"/>
            <family val="3"/>
            <charset val="129"/>
          </rPr>
          <t>규모</t>
        </r>
        <r>
          <rPr>
            <sz val="9"/>
            <color indexed="81"/>
            <rFont val="Tahoma"/>
            <family val="2"/>
          </rPr>
          <t xml:space="preserve"> </t>
        </r>
        <r>
          <rPr>
            <sz val="9"/>
            <color indexed="81"/>
            <rFont val="돋움"/>
            <family val="3"/>
            <charset val="129"/>
          </rPr>
          <t>보정계수를</t>
        </r>
        <r>
          <rPr>
            <sz val="9"/>
            <color indexed="81"/>
            <rFont val="Tahoma"/>
            <family val="2"/>
          </rPr>
          <t xml:space="preserve"> </t>
        </r>
        <r>
          <rPr>
            <sz val="9"/>
            <color indexed="81"/>
            <rFont val="돋움"/>
            <family val="3"/>
            <charset val="129"/>
          </rPr>
          <t>적용해야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아주</t>
        </r>
        <r>
          <rPr>
            <sz val="9"/>
            <color indexed="81"/>
            <rFont val="Tahoma"/>
            <family val="2"/>
          </rPr>
          <t xml:space="preserve"> </t>
        </r>
        <r>
          <rPr>
            <sz val="9"/>
            <color indexed="81"/>
            <rFont val="돋움"/>
            <family val="3"/>
            <charset val="129"/>
          </rPr>
          <t>중요</t>
        </r>
        <r>
          <rPr>
            <sz val="9"/>
            <color indexed="81"/>
            <rFont val="Tahoma"/>
            <family val="2"/>
          </rPr>
          <t>)</t>
        </r>
      </text>
    </comment>
    <comment ref="C14" authorId="1" shapeId="0" xr:uid="{00000000-0006-0000-0300-000004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D14" authorId="1" shapeId="0" xr:uid="{00000000-0006-0000-0300-000005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E14" authorId="1" shapeId="0" xr:uid="{00000000-0006-0000-0300-000006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F14" authorId="1" shapeId="0" xr:uid="{00000000-0006-0000-0300-000007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G14" authorId="1" shapeId="0" xr:uid="{00000000-0006-0000-0300-000008000000}">
      <text>
        <r>
          <rPr>
            <b/>
            <sz val="9"/>
            <color indexed="81"/>
            <rFont val="Tahoma"/>
            <family val="2"/>
          </rPr>
          <t>vdi_admin:</t>
        </r>
        <r>
          <rPr>
            <sz val="9"/>
            <color indexed="81"/>
            <rFont val="Tahoma"/>
            <family val="2"/>
          </rPr>
          <t xml:space="preserve">
</t>
        </r>
        <r>
          <rPr>
            <sz val="9"/>
            <color indexed="81"/>
            <rFont val="돋움"/>
            <family val="3"/>
            <charset val="129"/>
          </rPr>
          <t>일반개발비의</t>
        </r>
        <r>
          <rPr>
            <sz val="9"/>
            <color indexed="81"/>
            <rFont val="Tahoma"/>
            <family val="2"/>
          </rPr>
          <t xml:space="preserve"> 12% ~ 15% </t>
        </r>
        <r>
          <rPr>
            <sz val="9"/>
            <color indexed="81"/>
            <rFont val="돋움"/>
            <family val="3"/>
            <charset val="129"/>
          </rPr>
          <t>적게</t>
        </r>
        <r>
          <rPr>
            <sz val="9"/>
            <color indexed="81"/>
            <rFont val="Tahoma"/>
            <family val="2"/>
          </rPr>
          <t xml:space="preserve"> </t>
        </r>
        <r>
          <rPr>
            <sz val="9"/>
            <color indexed="81"/>
            <rFont val="돋움"/>
            <family val="3"/>
            <charset val="129"/>
          </rPr>
          <t>개발비</t>
        </r>
        <r>
          <rPr>
            <sz val="9"/>
            <color indexed="81"/>
            <rFont val="Tahoma"/>
            <family val="2"/>
          </rPr>
          <t xml:space="preserve"> </t>
        </r>
        <r>
          <rPr>
            <sz val="9"/>
            <color indexed="81"/>
            <rFont val="돋움"/>
            <family val="3"/>
            <charset val="129"/>
          </rPr>
          <t xml:space="preserve">산정해줌
</t>
        </r>
        <r>
          <rPr>
            <sz val="9"/>
            <color indexed="81"/>
            <rFont val="Tahoma"/>
            <family val="2"/>
          </rPr>
          <t>(</t>
        </r>
        <r>
          <rPr>
            <sz val="9"/>
            <color indexed="81"/>
            <rFont val="돋움"/>
            <family val="3"/>
            <charset val="129"/>
          </rPr>
          <t>규모에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차이남</t>
        </r>
        <r>
          <rPr>
            <sz val="9"/>
            <color indexed="81"/>
            <rFont val="Tahoma"/>
            <family val="2"/>
          </rPr>
          <t>)</t>
        </r>
        <r>
          <rPr>
            <sz val="9"/>
            <color indexed="81"/>
            <rFont val="돋움"/>
            <family val="3"/>
            <charset val="129"/>
          </rPr>
          <t xml:space="preserve">
규모</t>
        </r>
        <r>
          <rPr>
            <sz val="9"/>
            <color indexed="81"/>
            <rFont val="Tahoma"/>
            <family val="2"/>
          </rPr>
          <t xml:space="preserve">: 300FP </t>
        </r>
        <r>
          <rPr>
            <sz val="9"/>
            <color indexed="81"/>
            <rFont val="돋움"/>
            <family val="3"/>
            <charset val="129"/>
          </rPr>
          <t>이하</t>
        </r>
        <r>
          <rPr>
            <sz val="9"/>
            <color indexed="81"/>
            <rFont val="Tahoma"/>
            <family val="2"/>
          </rPr>
          <t xml:space="preserve">: </t>
        </r>
        <r>
          <rPr>
            <sz val="9"/>
            <color indexed="81"/>
            <rFont val="돋움"/>
            <family val="3"/>
            <charset val="129"/>
          </rPr>
          <t>약</t>
        </r>
        <r>
          <rPr>
            <sz val="9"/>
            <color indexed="81"/>
            <rFont val="Tahoma"/>
            <family val="2"/>
          </rPr>
          <t xml:space="preserve"> 12%
</t>
        </r>
        <r>
          <rPr>
            <sz val="9"/>
            <color indexed="81"/>
            <rFont val="돋움"/>
            <family val="3"/>
            <charset val="129"/>
          </rPr>
          <t>규모</t>
        </r>
        <r>
          <rPr>
            <sz val="9"/>
            <color indexed="81"/>
            <rFont val="Tahoma"/>
            <family val="2"/>
          </rPr>
          <t xml:space="preserve">: 300FP </t>
        </r>
        <r>
          <rPr>
            <sz val="9"/>
            <color indexed="81"/>
            <rFont val="돋움"/>
            <family val="3"/>
            <charset val="129"/>
          </rPr>
          <t>이상</t>
        </r>
        <r>
          <rPr>
            <sz val="9"/>
            <color indexed="81"/>
            <rFont val="Tahoma"/>
            <family val="2"/>
          </rPr>
          <t xml:space="preserve">: </t>
        </r>
        <r>
          <rPr>
            <sz val="9"/>
            <color indexed="81"/>
            <rFont val="돋움"/>
            <family val="3"/>
            <charset val="129"/>
          </rPr>
          <t>약</t>
        </r>
        <r>
          <rPr>
            <sz val="9"/>
            <color indexed="81"/>
            <rFont val="Tahoma"/>
            <family val="2"/>
          </rPr>
          <t xml:space="preserve"> 15%
</t>
        </r>
      </text>
    </comment>
    <comment ref="B26" authorId="1" shapeId="0" xr:uid="{00000000-0006-0000-0300-000009000000}">
      <text>
        <r>
          <rPr>
            <b/>
            <sz val="9"/>
            <color indexed="81"/>
            <rFont val="Tahoma"/>
            <family val="2"/>
          </rPr>
          <t>vdi_admin:</t>
        </r>
        <r>
          <rPr>
            <sz val="9"/>
            <color indexed="81"/>
            <rFont val="Tahoma"/>
            <family val="2"/>
          </rPr>
          <t xml:space="preserve">
</t>
        </r>
        <r>
          <rPr>
            <sz val="9"/>
            <color indexed="81"/>
            <rFont val="돋움"/>
            <family val="3"/>
            <charset val="129"/>
          </rPr>
          <t>가중치</t>
        </r>
        <r>
          <rPr>
            <sz val="9"/>
            <color indexed="81"/>
            <rFont val="Tahoma"/>
            <family val="2"/>
          </rPr>
          <t xml:space="preserve"> </t>
        </r>
        <r>
          <rPr>
            <sz val="9"/>
            <color indexed="81"/>
            <rFont val="돋움"/>
            <family val="3"/>
            <charset val="129"/>
          </rPr>
          <t>범위</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가중치</t>
        </r>
        <r>
          <rPr>
            <sz val="9"/>
            <color indexed="81"/>
            <rFont val="Tahoma"/>
            <family val="2"/>
          </rPr>
          <t xml:space="preserve"> </t>
        </r>
        <r>
          <rPr>
            <sz val="9"/>
            <color indexed="81"/>
            <rFont val="돋움"/>
            <family val="3"/>
            <charset val="129"/>
          </rPr>
          <t>기준
상</t>
        </r>
        <r>
          <rPr>
            <sz val="9"/>
            <color indexed="81"/>
            <rFont val="Tahoma"/>
            <family val="2"/>
          </rPr>
          <t>: 103.5%</t>
        </r>
        <r>
          <rPr>
            <sz val="9"/>
            <color indexed="81"/>
            <rFont val="돋움"/>
            <family val="3"/>
            <charset val="129"/>
          </rPr>
          <t xml:space="preserve">
중</t>
        </r>
        <r>
          <rPr>
            <sz val="9"/>
            <color indexed="81"/>
            <rFont val="Tahoma"/>
            <family val="2"/>
          </rPr>
          <t xml:space="preserve">: 100%
</t>
        </r>
        <r>
          <rPr>
            <sz val="9"/>
            <color indexed="81"/>
            <rFont val="돋움"/>
            <family val="3"/>
            <charset val="129"/>
          </rPr>
          <t>하</t>
        </r>
        <r>
          <rPr>
            <sz val="9"/>
            <color indexed="81"/>
            <rFont val="Tahoma"/>
            <family val="2"/>
          </rPr>
          <t xml:space="preserve">: 96.5%
</t>
        </r>
        <r>
          <rPr>
            <b/>
            <sz val="9"/>
            <color indexed="81"/>
            <rFont val="Tahoma"/>
            <family val="2"/>
          </rPr>
          <t>~</t>
        </r>
        <r>
          <rPr>
            <b/>
            <sz val="9"/>
            <color indexed="81"/>
            <rFont val="돋움"/>
            <family val="3"/>
            <charset val="129"/>
          </rPr>
          <t>개발비의</t>
        </r>
        <r>
          <rPr>
            <b/>
            <sz val="9"/>
            <color indexed="81"/>
            <rFont val="Tahoma"/>
            <family val="2"/>
          </rPr>
          <t xml:space="preserve"> 103.5% ~ 96.5% </t>
        </r>
        <r>
          <rPr>
            <b/>
            <sz val="9"/>
            <color indexed="81"/>
            <rFont val="돋움"/>
            <family val="3"/>
            <charset val="129"/>
          </rPr>
          <t>영향줌</t>
        </r>
      </text>
    </comment>
    <comment ref="D29" authorId="1" shapeId="0" xr:uid="{00000000-0006-0000-0300-00000A000000}">
      <text>
        <r>
          <rPr>
            <b/>
            <sz val="9"/>
            <color indexed="81"/>
            <rFont val="Tahoma"/>
            <family val="2"/>
          </rPr>
          <t>vdi_admin:</t>
        </r>
        <r>
          <rPr>
            <sz val="9"/>
            <color indexed="81"/>
            <rFont val="Tahoma"/>
            <family val="2"/>
          </rPr>
          <t xml:space="preserve">
</t>
        </r>
        <r>
          <rPr>
            <sz val="9"/>
            <color indexed="81"/>
            <rFont val="돋움"/>
            <family val="3"/>
            <charset val="129"/>
          </rPr>
          <t>ㅇ부여된</t>
        </r>
        <r>
          <rPr>
            <sz val="9"/>
            <color indexed="81"/>
            <rFont val="Tahoma"/>
            <family val="2"/>
          </rPr>
          <t xml:space="preserve"> </t>
        </r>
        <r>
          <rPr>
            <sz val="9"/>
            <color indexed="81"/>
            <rFont val="돋움"/>
            <family val="3"/>
            <charset val="129"/>
          </rPr>
          <t>등급기준</t>
        </r>
        <r>
          <rPr>
            <sz val="9"/>
            <color indexed="81"/>
            <rFont val="Tahoma"/>
            <family val="2"/>
          </rPr>
          <t xml:space="preserve"> </t>
        </r>
        <r>
          <rPr>
            <sz val="9"/>
            <color indexed="81"/>
            <rFont val="돋움"/>
            <family val="3"/>
            <charset val="129"/>
          </rPr>
          <t>자동값와</t>
        </r>
        <r>
          <rPr>
            <sz val="9"/>
            <color indexed="81"/>
            <rFont val="Tahoma"/>
            <family val="2"/>
          </rPr>
          <t xml:space="preserve"> </t>
        </r>
        <r>
          <rPr>
            <sz val="9"/>
            <color indexed="81"/>
            <rFont val="돋움"/>
            <family val="3"/>
            <charset val="129"/>
          </rPr>
          <t xml:space="preserve">다르게
</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인정해주거나</t>
        </r>
        <r>
          <rPr>
            <sz val="9"/>
            <color indexed="81"/>
            <rFont val="Tahoma"/>
            <family val="2"/>
          </rPr>
          <t xml:space="preserve"> </t>
        </r>
        <r>
          <rPr>
            <sz val="9"/>
            <color indexed="81"/>
            <rFont val="돋움"/>
            <family val="3"/>
            <charset val="129"/>
          </rPr>
          <t>덜</t>
        </r>
        <r>
          <rPr>
            <sz val="9"/>
            <color indexed="81"/>
            <rFont val="Tahoma"/>
            <family val="2"/>
          </rPr>
          <t xml:space="preserve"> </t>
        </r>
        <r>
          <rPr>
            <sz val="9"/>
            <color indexed="81"/>
            <rFont val="돋움"/>
            <family val="3"/>
            <charset val="129"/>
          </rPr>
          <t>인정해줄때</t>
        </r>
        <r>
          <rPr>
            <sz val="9"/>
            <color indexed="81"/>
            <rFont val="Tahoma"/>
            <family val="2"/>
          </rPr>
          <t xml:space="preserve"> 
   G34 ~ J34</t>
        </r>
        <r>
          <rPr>
            <sz val="9"/>
            <color indexed="81"/>
            <rFont val="돋움"/>
            <family val="3"/>
            <charset val="129"/>
          </rPr>
          <t>행</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변경하고</t>
        </r>
        <r>
          <rPr>
            <sz val="9"/>
            <color indexed="81"/>
            <rFont val="Tahoma"/>
            <family val="2"/>
          </rPr>
          <t xml:space="preserve"> K36</t>
        </r>
        <r>
          <rPr>
            <sz val="9"/>
            <color indexed="81"/>
            <rFont val="돋움"/>
            <family val="3"/>
            <charset val="129"/>
          </rPr>
          <t xml:space="preserve">값을
</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입력하시면</t>
        </r>
        <r>
          <rPr>
            <sz val="9"/>
            <color indexed="81"/>
            <rFont val="Tahoma"/>
            <family val="2"/>
          </rPr>
          <t xml:space="preserve"> </t>
        </r>
        <r>
          <rPr>
            <sz val="9"/>
            <color indexed="81"/>
            <rFont val="돋움"/>
            <family val="3"/>
            <charset val="129"/>
          </rPr>
          <t>반영됩니다</t>
        </r>
        <r>
          <rPr>
            <sz val="9"/>
            <color indexed="81"/>
            <rFont val="Tahoma"/>
            <family val="2"/>
          </rPr>
          <t>.</t>
        </r>
      </text>
    </comment>
    <comment ref="E29" authorId="1" shapeId="0" xr:uid="{00000000-0006-0000-0300-00000B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등급기준</t>
        </r>
        <r>
          <rPr>
            <sz val="9"/>
            <color indexed="81"/>
            <rFont val="Tahoma"/>
            <family val="2"/>
          </rPr>
          <t xml:space="preserve"> </t>
        </r>
        <r>
          <rPr>
            <sz val="9"/>
            <color indexed="81"/>
            <rFont val="돋움"/>
            <family val="3"/>
            <charset val="129"/>
          </rPr>
          <t>산정값</t>
        </r>
      </text>
    </comment>
    <comment ref="B32" authorId="1" shapeId="0" xr:uid="{00000000-0006-0000-0300-00000C000000}">
      <text>
        <r>
          <rPr>
            <b/>
            <sz val="9"/>
            <color indexed="81"/>
            <rFont val="Tahoma"/>
            <family val="2"/>
          </rPr>
          <t>vdi_admin:</t>
        </r>
        <r>
          <rPr>
            <sz val="9"/>
            <color indexed="81"/>
            <rFont val="Tahoma"/>
            <family val="2"/>
          </rPr>
          <t xml:space="preserve">
</t>
        </r>
        <r>
          <rPr>
            <sz val="9"/>
            <color indexed="81"/>
            <rFont val="돋움"/>
            <family val="3"/>
            <charset val="129"/>
          </rPr>
          <t>가중치</t>
        </r>
        <r>
          <rPr>
            <sz val="9"/>
            <color indexed="81"/>
            <rFont val="Tahoma"/>
            <family val="2"/>
          </rPr>
          <t xml:space="preserve"> </t>
        </r>
        <r>
          <rPr>
            <sz val="9"/>
            <color indexed="81"/>
            <rFont val="돋움"/>
            <family val="3"/>
            <charset val="129"/>
          </rPr>
          <t>범위</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가중치</t>
        </r>
        <r>
          <rPr>
            <sz val="9"/>
            <color indexed="81"/>
            <rFont val="Tahoma"/>
            <family val="2"/>
          </rPr>
          <t xml:space="preserve"> </t>
        </r>
        <r>
          <rPr>
            <sz val="9"/>
            <color indexed="81"/>
            <rFont val="돋움"/>
            <family val="3"/>
            <charset val="129"/>
          </rPr>
          <t>기준
상</t>
        </r>
        <r>
          <rPr>
            <sz val="9"/>
            <color indexed="81"/>
            <rFont val="Tahoma"/>
            <family val="2"/>
          </rPr>
          <t>: 103.5%</t>
        </r>
        <r>
          <rPr>
            <sz val="9"/>
            <color indexed="81"/>
            <rFont val="돋움"/>
            <family val="3"/>
            <charset val="129"/>
          </rPr>
          <t xml:space="preserve">
중</t>
        </r>
        <r>
          <rPr>
            <sz val="9"/>
            <color indexed="81"/>
            <rFont val="Tahoma"/>
            <family val="2"/>
          </rPr>
          <t xml:space="preserve">: 100%
</t>
        </r>
        <r>
          <rPr>
            <sz val="9"/>
            <color indexed="81"/>
            <rFont val="돋움"/>
            <family val="3"/>
            <charset val="129"/>
          </rPr>
          <t>하</t>
        </r>
        <r>
          <rPr>
            <sz val="9"/>
            <color indexed="81"/>
            <rFont val="Tahoma"/>
            <family val="2"/>
          </rPr>
          <t xml:space="preserve">: 96.5%
</t>
        </r>
        <r>
          <rPr>
            <b/>
            <sz val="9"/>
            <color indexed="81"/>
            <rFont val="Tahoma"/>
            <family val="2"/>
          </rPr>
          <t>~</t>
        </r>
        <r>
          <rPr>
            <b/>
            <sz val="9"/>
            <color indexed="81"/>
            <rFont val="돋움"/>
            <family val="3"/>
            <charset val="129"/>
          </rPr>
          <t>개발비의</t>
        </r>
        <r>
          <rPr>
            <b/>
            <sz val="9"/>
            <color indexed="81"/>
            <rFont val="Tahoma"/>
            <family val="2"/>
          </rPr>
          <t xml:space="preserve"> 103.5% ~ 96.5% </t>
        </r>
        <r>
          <rPr>
            <b/>
            <sz val="9"/>
            <color indexed="81"/>
            <rFont val="돋움"/>
            <family val="3"/>
            <charset val="129"/>
          </rPr>
          <t>영향줌</t>
        </r>
      </text>
    </comment>
    <comment ref="D35" authorId="1" shapeId="0" xr:uid="{00000000-0006-0000-0300-00000D000000}">
      <text>
        <r>
          <rPr>
            <b/>
            <sz val="9"/>
            <color indexed="81"/>
            <rFont val="Tahoma"/>
            <family val="2"/>
          </rPr>
          <t>vdi_admin:</t>
        </r>
        <r>
          <rPr>
            <sz val="9"/>
            <color indexed="81"/>
            <rFont val="Tahoma"/>
            <family val="2"/>
          </rPr>
          <t xml:space="preserve">
</t>
        </r>
        <r>
          <rPr>
            <sz val="9"/>
            <color indexed="81"/>
            <rFont val="돋움"/>
            <family val="3"/>
            <charset val="129"/>
          </rPr>
          <t>ㅇ부여된</t>
        </r>
        <r>
          <rPr>
            <sz val="9"/>
            <color indexed="81"/>
            <rFont val="Tahoma"/>
            <family val="2"/>
          </rPr>
          <t xml:space="preserve"> </t>
        </r>
        <r>
          <rPr>
            <sz val="9"/>
            <color indexed="81"/>
            <rFont val="돋움"/>
            <family val="3"/>
            <charset val="129"/>
          </rPr>
          <t>등급기준</t>
        </r>
        <r>
          <rPr>
            <sz val="9"/>
            <color indexed="81"/>
            <rFont val="Tahoma"/>
            <family val="2"/>
          </rPr>
          <t xml:space="preserve"> </t>
        </r>
        <r>
          <rPr>
            <sz val="9"/>
            <color indexed="81"/>
            <rFont val="돋움"/>
            <family val="3"/>
            <charset val="129"/>
          </rPr>
          <t>자동값와</t>
        </r>
        <r>
          <rPr>
            <sz val="9"/>
            <color indexed="81"/>
            <rFont val="Tahoma"/>
            <family val="2"/>
          </rPr>
          <t xml:space="preserve"> </t>
        </r>
        <r>
          <rPr>
            <sz val="9"/>
            <color indexed="81"/>
            <rFont val="돋움"/>
            <family val="3"/>
            <charset val="129"/>
          </rPr>
          <t xml:space="preserve">다르게
</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인정해주거나</t>
        </r>
        <r>
          <rPr>
            <sz val="9"/>
            <color indexed="81"/>
            <rFont val="Tahoma"/>
            <family val="2"/>
          </rPr>
          <t xml:space="preserve"> </t>
        </r>
        <r>
          <rPr>
            <sz val="9"/>
            <color indexed="81"/>
            <rFont val="돋움"/>
            <family val="3"/>
            <charset val="129"/>
          </rPr>
          <t>덜</t>
        </r>
        <r>
          <rPr>
            <sz val="9"/>
            <color indexed="81"/>
            <rFont val="Tahoma"/>
            <family val="2"/>
          </rPr>
          <t xml:space="preserve"> </t>
        </r>
        <r>
          <rPr>
            <sz val="9"/>
            <color indexed="81"/>
            <rFont val="돋움"/>
            <family val="3"/>
            <charset val="129"/>
          </rPr>
          <t>인정해줄때</t>
        </r>
        <r>
          <rPr>
            <sz val="9"/>
            <color indexed="81"/>
            <rFont val="Tahoma"/>
            <family val="2"/>
          </rPr>
          <t xml:space="preserve"> 
   G34 ~ J34</t>
        </r>
        <r>
          <rPr>
            <sz val="9"/>
            <color indexed="81"/>
            <rFont val="돋움"/>
            <family val="3"/>
            <charset val="129"/>
          </rPr>
          <t>행</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변경하고</t>
        </r>
        <r>
          <rPr>
            <sz val="9"/>
            <color indexed="81"/>
            <rFont val="Tahoma"/>
            <family val="2"/>
          </rPr>
          <t xml:space="preserve"> K36</t>
        </r>
        <r>
          <rPr>
            <sz val="9"/>
            <color indexed="81"/>
            <rFont val="돋움"/>
            <family val="3"/>
            <charset val="129"/>
          </rPr>
          <t xml:space="preserve">값을
</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입력하시면</t>
        </r>
        <r>
          <rPr>
            <sz val="9"/>
            <color indexed="81"/>
            <rFont val="Tahoma"/>
            <family val="2"/>
          </rPr>
          <t xml:space="preserve"> </t>
        </r>
        <r>
          <rPr>
            <sz val="9"/>
            <color indexed="81"/>
            <rFont val="돋움"/>
            <family val="3"/>
            <charset val="129"/>
          </rPr>
          <t>반영됩니다</t>
        </r>
        <r>
          <rPr>
            <sz val="9"/>
            <color indexed="81"/>
            <rFont val="Tahoma"/>
            <family val="2"/>
          </rPr>
          <t>.</t>
        </r>
      </text>
    </comment>
    <comment ref="E35" authorId="1" shapeId="0" xr:uid="{00000000-0006-0000-0300-00000E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등급기준</t>
        </r>
        <r>
          <rPr>
            <sz val="9"/>
            <color indexed="81"/>
            <rFont val="Tahoma"/>
            <family val="2"/>
          </rPr>
          <t xml:space="preserve"> </t>
        </r>
        <r>
          <rPr>
            <sz val="9"/>
            <color indexed="81"/>
            <rFont val="돋움"/>
            <family val="3"/>
            <charset val="129"/>
          </rPr>
          <t>산정값</t>
        </r>
      </text>
    </comment>
    <comment ref="B38" authorId="1" shapeId="0" xr:uid="{00000000-0006-0000-0300-00000F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중단</t>
        </r>
        <r>
          <rPr>
            <sz val="9"/>
            <color indexed="81"/>
            <rFont val="Tahoma"/>
            <family val="2"/>
          </rPr>
          <t xml:space="preserve"> </t>
        </r>
        <r>
          <rPr>
            <sz val="9"/>
            <color indexed="81"/>
            <rFont val="돋움"/>
            <family val="3"/>
            <charset val="129"/>
          </rPr>
          <t>시의</t>
        </r>
        <r>
          <rPr>
            <sz val="9"/>
            <color indexed="81"/>
            <rFont val="Tahoma"/>
            <family val="2"/>
          </rPr>
          <t xml:space="preserve"> </t>
        </r>
        <r>
          <rPr>
            <sz val="9"/>
            <color indexed="81"/>
            <rFont val="돋움"/>
            <family val="3"/>
            <charset val="129"/>
          </rPr>
          <t>위험성이</t>
        </r>
        <r>
          <rPr>
            <sz val="9"/>
            <color indexed="81"/>
            <rFont val="Tahoma"/>
            <family val="2"/>
          </rPr>
          <t xml:space="preserve"> </t>
        </r>
        <r>
          <rPr>
            <sz val="9"/>
            <color indexed="81"/>
            <rFont val="돋움"/>
            <family val="3"/>
            <charset val="129"/>
          </rPr>
          <t>높고</t>
        </r>
        <r>
          <rPr>
            <sz val="9"/>
            <color indexed="81"/>
            <rFont val="Tahoma"/>
            <family val="2"/>
          </rPr>
          <t xml:space="preserve"> </t>
        </r>
        <r>
          <rPr>
            <sz val="9"/>
            <color indexed="81"/>
            <rFont val="돋움"/>
            <family val="3"/>
            <charset val="129"/>
          </rPr>
          <t>고가용성이</t>
        </r>
        <r>
          <rPr>
            <sz val="9"/>
            <color indexed="81"/>
            <rFont val="Tahoma"/>
            <family val="2"/>
          </rPr>
          <t xml:space="preserve"> </t>
        </r>
        <r>
          <rPr>
            <sz val="9"/>
            <color indexed="81"/>
            <rFont val="돋움"/>
            <family val="3"/>
            <charset val="129"/>
          </rPr>
          <t>요구되는</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 xml:space="preserve">등에
</t>
        </r>
        <r>
          <rPr>
            <sz val="9"/>
            <color indexed="81"/>
            <rFont val="돋움"/>
            <family val="3"/>
            <charset val="129"/>
          </rPr>
          <t>통합</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시험변경율이</t>
        </r>
        <r>
          <rPr>
            <sz val="9"/>
            <color indexed="81"/>
            <rFont val="Tahoma"/>
            <family val="2"/>
          </rPr>
          <t xml:space="preserve"> 100%</t>
        </r>
        <r>
          <rPr>
            <sz val="9"/>
            <color indexed="81"/>
            <rFont val="돋움"/>
            <family val="3"/>
            <charset val="129"/>
          </rPr>
          <t>로</t>
        </r>
        <r>
          <rPr>
            <sz val="9"/>
            <color indexed="81"/>
            <rFont val="Tahoma"/>
            <family val="2"/>
          </rPr>
          <t xml:space="preserve"> </t>
        </r>
        <r>
          <rPr>
            <sz val="9"/>
            <color indexed="81"/>
            <rFont val="돋움"/>
            <family val="3"/>
            <charset val="129"/>
          </rPr>
          <t>나타나는</t>
        </r>
        <r>
          <rPr>
            <sz val="9"/>
            <color indexed="81"/>
            <rFont val="Tahoma"/>
            <family val="2"/>
          </rPr>
          <t xml:space="preserve"> </t>
        </r>
        <r>
          <rPr>
            <sz val="9"/>
            <color indexed="81"/>
            <rFont val="돋움"/>
            <family val="3"/>
            <charset val="129"/>
          </rPr>
          <t>경우도</t>
        </r>
        <r>
          <rPr>
            <sz val="9"/>
            <color indexed="81"/>
            <rFont val="Tahoma"/>
            <family val="2"/>
          </rPr>
          <t xml:space="preserve"> </t>
        </r>
        <r>
          <rPr>
            <sz val="9"/>
            <color indexed="81"/>
            <rFont val="돋움"/>
            <family val="3"/>
            <charset val="129"/>
          </rPr>
          <t>종종</t>
        </r>
        <r>
          <rPr>
            <sz val="9"/>
            <color indexed="81"/>
            <rFont val="Tahoma"/>
            <family val="2"/>
          </rPr>
          <t xml:space="preserve"> </t>
        </r>
        <r>
          <rPr>
            <sz val="9"/>
            <color indexed="81"/>
            <rFont val="돋움"/>
            <family val="3"/>
            <charset val="129"/>
          </rPr>
          <t>발생한다</t>
        </r>
        <r>
          <rPr>
            <sz val="9"/>
            <color indexed="81"/>
            <rFont val="Tahoma"/>
            <family val="2"/>
          </rPr>
          <t>.</t>
        </r>
      </text>
    </comment>
    <comment ref="C38" authorId="1" shapeId="0" xr:uid="{00000000-0006-0000-0300-000010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중단</t>
        </r>
        <r>
          <rPr>
            <sz val="9"/>
            <color indexed="81"/>
            <rFont val="Tahoma"/>
            <family val="2"/>
          </rPr>
          <t xml:space="preserve"> </t>
        </r>
        <r>
          <rPr>
            <sz val="9"/>
            <color indexed="81"/>
            <rFont val="돋움"/>
            <family val="3"/>
            <charset val="129"/>
          </rPr>
          <t>시의</t>
        </r>
        <r>
          <rPr>
            <sz val="9"/>
            <color indexed="81"/>
            <rFont val="Tahoma"/>
            <family val="2"/>
          </rPr>
          <t xml:space="preserve"> </t>
        </r>
        <r>
          <rPr>
            <sz val="9"/>
            <color indexed="81"/>
            <rFont val="돋움"/>
            <family val="3"/>
            <charset val="129"/>
          </rPr>
          <t>위험성이</t>
        </r>
        <r>
          <rPr>
            <sz val="9"/>
            <color indexed="81"/>
            <rFont val="Tahoma"/>
            <family val="2"/>
          </rPr>
          <t xml:space="preserve"> </t>
        </r>
        <r>
          <rPr>
            <sz val="9"/>
            <color indexed="81"/>
            <rFont val="돋움"/>
            <family val="3"/>
            <charset val="129"/>
          </rPr>
          <t>높고</t>
        </r>
        <r>
          <rPr>
            <sz val="9"/>
            <color indexed="81"/>
            <rFont val="Tahoma"/>
            <family val="2"/>
          </rPr>
          <t xml:space="preserve"> 
</t>
        </r>
        <r>
          <rPr>
            <sz val="9"/>
            <color indexed="81"/>
            <rFont val="돋움"/>
            <family val="3"/>
            <charset val="129"/>
          </rPr>
          <t>고가용성이</t>
        </r>
        <r>
          <rPr>
            <sz val="9"/>
            <color indexed="81"/>
            <rFont val="Tahoma"/>
            <family val="2"/>
          </rPr>
          <t xml:space="preserve"> </t>
        </r>
        <r>
          <rPr>
            <sz val="9"/>
            <color indexed="81"/>
            <rFont val="돋움"/>
            <family val="3"/>
            <charset val="129"/>
          </rPr>
          <t>요구되는</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등은
통합</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시험변경율이</t>
        </r>
        <r>
          <rPr>
            <sz val="9"/>
            <color indexed="81"/>
            <rFont val="Tahoma"/>
            <family val="2"/>
          </rPr>
          <t xml:space="preserve"> 100%</t>
        </r>
        <r>
          <rPr>
            <sz val="9"/>
            <color indexed="81"/>
            <rFont val="돋움"/>
            <family val="3"/>
            <charset val="129"/>
          </rPr>
          <t>이</t>
        </r>
        <r>
          <rPr>
            <sz val="9"/>
            <color indexed="81"/>
            <rFont val="Tahoma"/>
            <family val="2"/>
          </rPr>
          <t xml:space="preserve"> </t>
        </r>
        <r>
          <rPr>
            <sz val="9"/>
            <color indexed="81"/>
            <rFont val="돋움"/>
            <family val="3"/>
            <charset val="129"/>
          </rPr>
          <t>될</t>
        </r>
        <r>
          <rPr>
            <sz val="9"/>
            <color indexed="81"/>
            <rFont val="Tahoma"/>
            <family val="2"/>
          </rPr>
          <t xml:space="preserve"> </t>
        </r>
        <r>
          <rPr>
            <sz val="9"/>
            <color indexed="81"/>
            <rFont val="돋움"/>
            <family val="3"/>
            <charset val="129"/>
          </rPr>
          <t>수도</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시험인정율을</t>
        </r>
        <r>
          <rPr>
            <sz val="9"/>
            <color indexed="81"/>
            <rFont val="Tahoma"/>
            <family val="2"/>
          </rPr>
          <t xml:space="preserve"> </t>
        </r>
        <r>
          <rPr>
            <sz val="9"/>
            <color indexed="81"/>
            <rFont val="돋움"/>
            <family val="3"/>
            <charset val="129"/>
          </rPr>
          <t>많이</t>
        </r>
        <r>
          <rPr>
            <sz val="9"/>
            <color indexed="81"/>
            <rFont val="Tahoma"/>
            <family val="2"/>
          </rPr>
          <t xml:space="preserve"> </t>
        </r>
        <r>
          <rPr>
            <sz val="9"/>
            <color indexed="81"/>
            <rFont val="돋움"/>
            <family val="3"/>
            <charset val="129"/>
          </rPr>
          <t>올려주면
별도</t>
        </r>
        <r>
          <rPr>
            <sz val="9"/>
            <color indexed="81"/>
            <rFont val="Tahoma"/>
            <family val="2"/>
          </rPr>
          <t xml:space="preserve"> </t>
        </r>
        <r>
          <rPr>
            <sz val="9"/>
            <color indexed="81"/>
            <rFont val="돋움"/>
            <family val="3"/>
            <charset val="129"/>
          </rPr>
          <t>개발에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투입인력은</t>
        </r>
        <r>
          <rPr>
            <sz val="9"/>
            <color indexed="81"/>
            <rFont val="Tahoma"/>
            <family val="2"/>
          </rPr>
          <t xml:space="preserve"> </t>
        </r>
        <r>
          <rPr>
            <sz val="9"/>
            <color indexed="81"/>
            <rFont val="돋움"/>
            <family val="3"/>
            <charset val="129"/>
          </rPr>
          <t>제거하셔도
무방합니다</t>
        </r>
        <r>
          <rPr>
            <sz val="9"/>
            <color indexed="81"/>
            <rFont val="Tahoma"/>
            <family val="2"/>
          </rPr>
          <t>.</t>
        </r>
      </text>
    </comment>
    <comment ref="C40" authorId="1" shapeId="0" xr:uid="{00000000-0006-0000-0300-000011000000}">
      <text>
        <r>
          <rPr>
            <b/>
            <sz val="9"/>
            <color indexed="81"/>
            <rFont val="Tahoma"/>
            <family val="2"/>
          </rPr>
          <t xml:space="preserve">vdi_admin:
</t>
        </r>
        <r>
          <rPr>
            <sz val="9"/>
            <color indexed="81"/>
            <rFont val="Tahoma"/>
            <family val="2"/>
          </rPr>
          <t xml:space="preserve">
</t>
        </r>
        <r>
          <rPr>
            <sz val="9"/>
            <color indexed="81"/>
            <rFont val="돋움"/>
            <family val="3"/>
            <charset val="129"/>
          </rPr>
          <t>변경레코드수</t>
        </r>
        <r>
          <rPr>
            <sz val="9"/>
            <color indexed="81"/>
            <rFont val="Tahoma"/>
            <family val="2"/>
          </rPr>
          <t>/</t>
        </r>
        <r>
          <rPr>
            <sz val="9"/>
            <color indexed="81"/>
            <rFont val="돋움"/>
            <family val="3"/>
            <charset val="129"/>
          </rPr>
          <t xml:space="preserve">전체레코드수
</t>
        </r>
      </text>
    </comment>
    <comment ref="E40" authorId="1" shapeId="0" xr:uid="{00000000-0006-0000-0300-000012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등급별</t>
        </r>
        <r>
          <rPr>
            <sz val="9"/>
            <color indexed="81"/>
            <rFont val="Tahoma"/>
            <family val="2"/>
          </rPr>
          <t xml:space="preserve"> </t>
        </r>
        <r>
          <rPr>
            <sz val="9"/>
            <color indexed="81"/>
            <rFont val="돋움"/>
            <family val="3"/>
            <charset val="129"/>
          </rPr>
          <t xml:space="preserve">가중치
</t>
        </r>
        <r>
          <rPr>
            <sz val="9"/>
            <color indexed="81"/>
            <rFont val="Tahoma"/>
            <family val="2"/>
          </rPr>
          <t xml:space="preserve">S , A , B, C </t>
        </r>
        <r>
          <rPr>
            <sz val="9"/>
            <color indexed="81"/>
            <rFont val="돋움"/>
            <family val="3"/>
            <charset val="129"/>
          </rPr>
          <t>등급</t>
        </r>
      </text>
    </comment>
    <comment ref="C41" authorId="1" shapeId="0" xr:uid="{00000000-0006-0000-0300-000013000000}">
      <text>
        <r>
          <rPr>
            <b/>
            <sz val="9"/>
            <color indexed="81"/>
            <rFont val="Tahoma"/>
            <family val="2"/>
          </rPr>
          <t>vdi_admin:</t>
        </r>
        <r>
          <rPr>
            <sz val="9"/>
            <color indexed="81"/>
            <rFont val="Tahoma"/>
            <family val="2"/>
          </rPr>
          <t xml:space="preserve">
</t>
        </r>
        <r>
          <rPr>
            <sz val="9"/>
            <color indexed="81"/>
            <rFont val="돋움"/>
            <family val="3"/>
            <charset val="129"/>
          </rPr>
          <t>트랜잭션</t>
        </r>
        <r>
          <rPr>
            <sz val="9"/>
            <color indexed="81"/>
            <rFont val="Tahoma"/>
            <family val="2"/>
          </rPr>
          <t xml:space="preserve"> </t>
        </r>
        <r>
          <rPr>
            <sz val="9"/>
            <color indexed="81"/>
            <rFont val="돋움"/>
            <family val="3"/>
            <charset val="129"/>
          </rPr>
          <t>설계</t>
        </r>
        <r>
          <rPr>
            <sz val="9"/>
            <color indexed="81"/>
            <rFont val="Tahoma"/>
            <family val="2"/>
          </rPr>
          <t xml:space="preserve"> </t>
        </r>
        <r>
          <rPr>
            <sz val="9"/>
            <color indexed="81"/>
            <rFont val="돋움"/>
            <family val="3"/>
            <charset val="129"/>
          </rPr>
          <t>변경율</t>
        </r>
        <r>
          <rPr>
            <sz val="9"/>
            <color indexed="81"/>
            <rFont val="Tahoma"/>
            <family val="2"/>
          </rPr>
          <t xml:space="preserve"> = 0.25×a(UI</t>
        </r>
        <r>
          <rPr>
            <sz val="9"/>
            <color indexed="81"/>
            <rFont val="돋움"/>
            <family val="3"/>
            <charset val="129"/>
          </rPr>
          <t>변경율</t>
        </r>
        <r>
          <rPr>
            <sz val="9"/>
            <color indexed="81"/>
            <rFont val="Tahoma"/>
            <family val="2"/>
          </rPr>
          <t xml:space="preserve">) </t>
        </r>
        <r>
          <rPr>
            <sz val="9"/>
            <color indexed="81"/>
            <rFont val="돋움"/>
            <family val="3"/>
            <charset val="129"/>
          </rPr>
          <t>＋</t>
        </r>
        <r>
          <rPr>
            <sz val="9"/>
            <color indexed="81"/>
            <rFont val="Tahoma"/>
            <family val="2"/>
          </rPr>
          <t xml:space="preserve"> 0.45×b(BL</t>
        </r>
        <r>
          <rPr>
            <sz val="9"/>
            <color indexed="81"/>
            <rFont val="돋움"/>
            <family val="3"/>
            <charset val="129"/>
          </rPr>
          <t>변경율</t>
        </r>
        <r>
          <rPr>
            <sz val="9"/>
            <color indexed="81"/>
            <rFont val="Tahoma"/>
            <family val="2"/>
          </rPr>
          <t xml:space="preserve">) </t>
        </r>
        <r>
          <rPr>
            <sz val="9"/>
            <color indexed="81"/>
            <rFont val="돋움"/>
            <family val="3"/>
            <charset val="129"/>
          </rPr>
          <t>＋</t>
        </r>
        <r>
          <rPr>
            <sz val="9"/>
            <color indexed="81"/>
            <rFont val="Tahoma"/>
            <family val="2"/>
          </rPr>
          <t xml:space="preserve"> 0.3×c(DL</t>
        </r>
        <r>
          <rPr>
            <sz val="9"/>
            <color indexed="81"/>
            <rFont val="돋움"/>
            <family val="3"/>
            <charset val="129"/>
          </rPr>
          <t>변경율</t>
        </r>
        <r>
          <rPr>
            <sz val="9"/>
            <color indexed="81"/>
            <rFont val="Tahoma"/>
            <family val="2"/>
          </rPr>
          <t>)</t>
        </r>
      </text>
    </comment>
    <comment ref="E41" authorId="1" shapeId="0" xr:uid="{00000000-0006-0000-0300-000014000000}">
      <text>
        <r>
          <rPr>
            <b/>
            <sz val="9"/>
            <color indexed="81"/>
            <rFont val="Tahoma"/>
            <family val="2"/>
          </rPr>
          <t>vdi_admin:</t>
        </r>
        <r>
          <rPr>
            <sz val="9"/>
            <color indexed="81"/>
            <rFont val="Tahoma"/>
            <family val="2"/>
          </rPr>
          <t xml:space="preserve">
</t>
        </r>
        <r>
          <rPr>
            <sz val="9"/>
            <color indexed="81"/>
            <rFont val="돋움"/>
            <family val="3"/>
            <charset val="129"/>
          </rPr>
          <t>설계변경율보다</t>
        </r>
        <r>
          <rPr>
            <sz val="9"/>
            <color indexed="81"/>
            <rFont val="Tahoma"/>
            <family val="2"/>
          </rPr>
          <t xml:space="preserve"> </t>
        </r>
        <r>
          <rPr>
            <sz val="9"/>
            <color indexed="81"/>
            <rFont val="돋움"/>
            <family val="3"/>
            <charset val="129"/>
          </rPr>
          <t>같거나</t>
        </r>
        <r>
          <rPr>
            <sz val="9"/>
            <color indexed="81"/>
            <rFont val="Tahoma"/>
            <family val="2"/>
          </rPr>
          <t xml:space="preserve"> </t>
        </r>
        <r>
          <rPr>
            <sz val="9"/>
            <color indexed="81"/>
            <rFont val="돋움"/>
            <family val="3"/>
            <charset val="129"/>
          </rPr>
          <t>높은값이</t>
        </r>
        <r>
          <rPr>
            <sz val="9"/>
            <color indexed="81"/>
            <rFont val="Tahoma"/>
            <family val="2"/>
          </rPr>
          <t xml:space="preserve"> </t>
        </r>
        <r>
          <rPr>
            <sz val="9"/>
            <color indexed="81"/>
            <rFont val="돋움"/>
            <family val="3"/>
            <charset val="129"/>
          </rPr>
          <t>나온다</t>
        </r>
        <r>
          <rPr>
            <sz val="9"/>
            <color indexed="81"/>
            <rFont val="Tahoma"/>
            <family val="2"/>
          </rPr>
          <t>..</t>
        </r>
        <r>
          <rPr>
            <sz val="9"/>
            <color indexed="81"/>
            <rFont val="돋움"/>
            <family val="3"/>
            <charset val="129"/>
          </rPr>
          <t>최대</t>
        </r>
        <r>
          <rPr>
            <sz val="9"/>
            <color indexed="81"/>
            <rFont val="Tahoma"/>
            <family val="2"/>
          </rPr>
          <t xml:space="preserve"> 2</t>
        </r>
        <r>
          <rPr>
            <sz val="9"/>
            <color indexed="81"/>
            <rFont val="돋움"/>
            <family val="3"/>
            <charset val="129"/>
          </rPr>
          <t>배</t>
        </r>
        <r>
          <rPr>
            <sz val="9"/>
            <color indexed="81"/>
            <rFont val="Tahoma"/>
            <family val="2"/>
          </rPr>
          <t>,</t>
        </r>
        <r>
          <rPr>
            <sz val="9"/>
            <color indexed="81"/>
            <rFont val="돋움"/>
            <family val="3"/>
            <charset val="129"/>
          </rPr>
          <t>언어변경으로</t>
        </r>
        <r>
          <rPr>
            <sz val="9"/>
            <color indexed="81"/>
            <rFont val="Tahoma"/>
            <family val="2"/>
          </rPr>
          <t xml:space="preserve"> </t>
        </r>
        <r>
          <rPr>
            <sz val="9"/>
            <color indexed="81"/>
            <rFont val="돋움"/>
            <family val="3"/>
            <charset val="129"/>
          </rPr>
          <t>새로운</t>
        </r>
        <r>
          <rPr>
            <sz val="9"/>
            <color indexed="81"/>
            <rFont val="Tahoma"/>
            <family val="2"/>
          </rPr>
          <t xml:space="preserve"> </t>
        </r>
        <r>
          <rPr>
            <sz val="9"/>
            <color indexed="81"/>
            <rFont val="돋움"/>
            <family val="3"/>
            <charset val="129"/>
          </rPr>
          <t>언어로</t>
        </r>
        <r>
          <rPr>
            <sz val="9"/>
            <color indexed="81"/>
            <rFont val="Tahoma"/>
            <family val="2"/>
          </rPr>
          <t xml:space="preserve"> </t>
        </r>
        <r>
          <rPr>
            <sz val="9"/>
            <color indexed="81"/>
            <rFont val="돋움"/>
            <family val="3"/>
            <charset val="129"/>
          </rPr>
          <t>개발하면</t>
        </r>
        <r>
          <rPr>
            <sz val="9"/>
            <color indexed="81"/>
            <rFont val="Tahoma"/>
            <family val="2"/>
          </rPr>
          <t xml:space="preserve"> </t>
        </r>
        <r>
          <rPr>
            <sz val="9"/>
            <color indexed="81"/>
            <rFont val="돋움"/>
            <family val="3"/>
            <charset val="129"/>
          </rPr>
          <t>코드변경율</t>
        </r>
        <r>
          <rPr>
            <sz val="9"/>
            <color indexed="81"/>
            <rFont val="Tahoma"/>
            <family val="2"/>
          </rPr>
          <t xml:space="preserve"> 100%</t>
        </r>
      </text>
    </comment>
    <comment ref="E42" authorId="1" shapeId="0" xr:uid="{00000000-0006-0000-0300-000015000000}">
      <text>
        <r>
          <rPr>
            <b/>
            <sz val="9"/>
            <color indexed="81"/>
            <rFont val="Tahoma"/>
            <family val="2"/>
          </rPr>
          <t>vdi_admin:</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중단</t>
        </r>
        <r>
          <rPr>
            <sz val="9"/>
            <color indexed="81"/>
            <rFont val="Tahoma"/>
            <family val="2"/>
          </rPr>
          <t xml:space="preserve"> </t>
        </r>
        <r>
          <rPr>
            <sz val="9"/>
            <color indexed="81"/>
            <rFont val="돋움"/>
            <family val="3"/>
            <charset val="129"/>
          </rPr>
          <t>시의</t>
        </r>
        <r>
          <rPr>
            <sz val="9"/>
            <color indexed="81"/>
            <rFont val="Tahoma"/>
            <family val="2"/>
          </rPr>
          <t xml:space="preserve"> </t>
        </r>
        <r>
          <rPr>
            <sz val="9"/>
            <color indexed="81"/>
            <rFont val="돋움"/>
            <family val="3"/>
            <charset val="129"/>
          </rPr>
          <t>위험성이</t>
        </r>
        <r>
          <rPr>
            <sz val="9"/>
            <color indexed="81"/>
            <rFont val="Tahoma"/>
            <family val="2"/>
          </rPr>
          <t xml:space="preserve"> </t>
        </r>
        <r>
          <rPr>
            <sz val="9"/>
            <color indexed="81"/>
            <rFont val="돋움"/>
            <family val="3"/>
            <charset val="129"/>
          </rPr>
          <t>높고</t>
        </r>
        <r>
          <rPr>
            <sz val="9"/>
            <color indexed="81"/>
            <rFont val="Tahoma"/>
            <family val="2"/>
          </rPr>
          <t xml:space="preserve"> </t>
        </r>
        <r>
          <rPr>
            <sz val="9"/>
            <color indexed="81"/>
            <rFont val="돋움"/>
            <family val="3"/>
            <charset val="129"/>
          </rPr>
          <t>고가용성이</t>
        </r>
        <r>
          <rPr>
            <sz val="9"/>
            <color indexed="81"/>
            <rFont val="Tahoma"/>
            <family val="2"/>
          </rPr>
          <t xml:space="preserve"> </t>
        </r>
        <r>
          <rPr>
            <sz val="9"/>
            <color indexed="81"/>
            <rFont val="돋움"/>
            <family val="3"/>
            <charset val="129"/>
          </rPr>
          <t>요구되는</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등에서는</t>
        </r>
        <r>
          <rPr>
            <sz val="9"/>
            <color indexed="81"/>
            <rFont val="Tahoma"/>
            <family val="2"/>
          </rPr>
          <t xml:space="preserve"> </t>
        </r>
        <r>
          <rPr>
            <sz val="9"/>
            <color indexed="81"/>
            <rFont val="돋움"/>
            <family val="3"/>
            <charset val="129"/>
          </rPr>
          <t>통합</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시험변경율이</t>
        </r>
        <r>
          <rPr>
            <sz val="9"/>
            <color indexed="81"/>
            <rFont val="Tahoma"/>
            <family val="2"/>
          </rPr>
          <t xml:space="preserve"> 100%</t>
        </r>
        <r>
          <rPr>
            <sz val="9"/>
            <color indexed="81"/>
            <rFont val="돋움"/>
            <family val="3"/>
            <charset val="129"/>
          </rPr>
          <t>로</t>
        </r>
        <r>
          <rPr>
            <sz val="9"/>
            <color indexed="81"/>
            <rFont val="Tahoma"/>
            <family val="2"/>
          </rPr>
          <t xml:space="preserve"> </t>
        </r>
        <r>
          <rPr>
            <sz val="9"/>
            <color indexed="81"/>
            <rFont val="돋움"/>
            <family val="3"/>
            <charset val="129"/>
          </rPr>
          <t>나타나는</t>
        </r>
        <r>
          <rPr>
            <sz val="9"/>
            <color indexed="81"/>
            <rFont val="Tahoma"/>
            <family val="2"/>
          </rPr>
          <t xml:space="preserve"> </t>
        </r>
        <r>
          <rPr>
            <sz val="9"/>
            <color indexed="81"/>
            <rFont val="돋움"/>
            <family val="3"/>
            <charset val="129"/>
          </rPr>
          <t>경우도</t>
        </r>
        <r>
          <rPr>
            <sz val="9"/>
            <color indexed="81"/>
            <rFont val="Tahoma"/>
            <family val="2"/>
          </rPr>
          <t xml:space="preserve"> </t>
        </r>
        <r>
          <rPr>
            <sz val="9"/>
            <color indexed="81"/>
            <rFont val="돋움"/>
            <family val="3"/>
            <charset val="129"/>
          </rPr>
          <t>종종</t>
        </r>
        <r>
          <rPr>
            <sz val="9"/>
            <color indexed="81"/>
            <rFont val="Tahoma"/>
            <family val="2"/>
          </rPr>
          <t xml:space="preserve"> </t>
        </r>
        <r>
          <rPr>
            <sz val="9"/>
            <color indexed="81"/>
            <rFont val="돋움"/>
            <family val="3"/>
            <charset val="129"/>
          </rPr>
          <t>발생한다</t>
        </r>
        <r>
          <rPr>
            <sz val="9"/>
            <color indexed="81"/>
            <rFont val="Tahoma"/>
            <family val="2"/>
          </rPr>
          <t xml:space="preserve">.
</t>
        </r>
        <r>
          <rPr>
            <sz val="9"/>
            <color indexed="81"/>
            <rFont val="돋움"/>
            <family val="3"/>
            <charset val="129"/>
          </rPr>
          <t>통합설계변경율</t>
        </r>
        <r>
          <rPr>
            <sz val="9"/>
            <color indexed="81"/>
            <rFont val="Tahoma"/>
            <family val="2"/>
          </rPr>
          <t xml:space="preserve">*0.3 + </t>
        </r>
        <r>
          <rPr>
            <sz val="9"/>
            <color indexed="81"/>
            <rFont val="돋움"/>
            <family val="3"/>
            <charset val="129"/>
          </rPr>
          <t>데이터기능</t>
        </r>
        <r>
          <rPr>
            <sz val="9"/>
            <color indexed="81"/>
            <rFont val="Tahoma"/>
            <family val="2"/>
          </rPr>
          <t xml:space="preserve"> </t>
        </r>
        <r>
          <rPr>
            <sz val="9"/>
            <color indexed="81"/>
            <rFont val="돋움"/>
            <family val="3"/>
            <charset val="129"/>
          </rPr>
          <t>설계변경율</t>
        </r>
        <r>
          <rPr>
            <sz val="9"/>
            <color indexed="81"/>
            <rFont val="Tahoma"/>
            <family val="2"/>
          </rPr>
          <t xml:space="preserve">*0.45 + </t>
        </r>
        <r>
          <rPr>
            <sz val="9"/>
            <color indexed="81"/>
            <rFont val="돋움"/>
            <family val="3"/>
            <charset val="129"/>
          </rPr>
          <t>보정계수</t>
        </r>
        <r>
          <rPr>
            <sz val="9"/>
            <color indexed="81"/>
            <rFont val="Tahoma"/>
            <family val="2"/>
          </rPr>
          <t>*0.25</t>
        </r>
      </text>
    </comment>
    <comment ref="E43" authorId="1" shapeId="0" xr:uid="{00000000-0006-0000-0300-000016000000}">
      <text>
        <r>
          <rPr>
            <b/>
            <sz val="9"/>
            <color indexed="81"/>
            <rFont val="Tahoma"/>
            <family val="2"/>
          </rPr>
          <t>vdi_admin:</t>
        </r>
        <r>
          <rPr>
            <sz val="9"/>
            <color indexed="81"/>
            <rFont val="Tahoma"/>
            <family val="2"/>
          </rPr>
          <t xml:space="preserve">
</t>
        </r>
        <r>
          <rPr>
            <sz val="9"/>
            <color indexed="81"/>
            <rFont val="돋움"/>
            <family val="3"/>
            <charset val="129"/>
          </rPr>
          <t>총</t>
        </r>
        <r>
          <rPr>
            <sz val="9"/>
            <color indexed="81"/>
            <rFont val="Tahoma"/>
            <family val="2"/>
          </rPr>
          <t xml:space="preserve"> </t>
        </r>
        <r>
          <rPr>
            <sz val="9"/>
            <color indexed="81"/>
            <rFont val="돋움"/>
            <family val="3"/>
            <charset val="129"/>
          </rPr>
          <t>변경율</t>
        </r>
        <r>
          <rPr>
            <sz val="9"/>
            <color indexed="81"/>
            <rFont val="Tahoma"/>
            <family val="2"/>
          </rPr>
          <t xml:space="preserve"> = 0.4 × </t>
        </r>
        <r>
          <rPr>
            <sz val="9"/>
            <color indexed="81"/>
            <rFont val="돋움"/>
            <family val="3"/>
            <charset val="129"/>
          </rPr>
          <t>설계</t>
        </r>
        <r>
          <rPr>
            <sz val="9"/>
            <color indexed="81"/>
            <rFont val="Tahoma"/>
            <family val="2"/>
          </rPr>
          <t xml:space="preserve"> </t>
        </r>
        <r>
          <rPr>
            <sz val="9"/>
            <color indexed="81"/>
            <rFont val="돋움"/>
            <family val="3"/>
            <charset val="129"/>
          </rPr>
          <t>변경율</t>
        </r>
        <r>
          <rPr>
            <sz val="9"/>
            <color indexed="81"/>
            <rFont val="Tahoma"/>
            <family val="2"/>
          </rPr>
          <t xml:space="preserve"> + 0.3 × </t>
        </r>
        <r>
          <rPr>
            <sz val="9"/>
            <color indexed="81"/>
            <rFont val="돋움"/>
            <family val="3"/>
            <charset val="129"/>
          </rPr>
          <t>코드</t>
        </r>
        <r>
          <rPr>
            <sz val="9"/>
            <color indexed="81"/>
            <rFont val="Tahoma"/>
            <family val="2"/>
          </rPr>
          <t xml:space="preserve"> </t>
        </r>
        <r>
          <rPr>
            <sz val="9"/>
            <color indexed="81"/>
            <rFont val="돋움"/>
            <family val="3"/>
            <charset val="129"/>
          </rPr>
          <t>변경율</t>
        </r>
        <r>
          <rPr>
            <sz val="9"/>
            <color indexed="81"/>
            <rFont val="Tahoma"/>
            <family val="2"/>
          </rPr>
          <t xml:space="preserve"> + 0.3 × </t>
        </r>
        <r>
          <rPr>
            <sz val="9"/>
            <color indexed="81"/>
            <rFont val="돋움"/>
            <family val="3"/>
            <charset val="129"/>
          </rPr>
          <t>통합</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시험</t>
        </r>
        <r>
          <rPr>
            <sz val="9"/>
            <color indexed="81"/>
            <rFont val="Tahoma"/>
            <family val="2"/>
          </rPr>
          <t xml:space="preserve"> </t>
        </r>
        <r>
          <rPr>
            <sz val="9"/>
            <color indexed="81"/>
            <rFont val="돋움"/>
            <family val="3"/>
            <charset val="129"/>
          </rPr>
          <t>변경율</t>
        </r>
      </text>
    </comment>
    <comment ref="D44" authorId="1" shapeId="0" xr:uid="{00000000-0006-0000-0300-000017000000}">
      <text>
        <r>
          <rPr>
            <b/>
            <sz val="9"/>
            <color indexed="81"/>
            <rFont val="Tahoma"/>
            <family val="2"/>
          </rPr>
          <t>vdi_admin:</t>
        </r>
        <r>
          <rPr>
            <sz val="9"/>
            <color indexed="81"/>
            <rFont val="Tahoma"/>
            <family val="2"/>
          </rPr>
          <t xml:space="preserve">
</t>
        </r>
        <r>
          <rPr>
            <sz val="9"/>
            <color indexed="81"/>
            <rFont val="돋움"/>
            <family val="3"/>
            <charset val="129"/>
          </rPr>
          <t>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노력</t>
        </r>
        <r>
          <rPr>
            <sz val="9"/>
            <color indexed="81"/>
            <rFont val="Tahoma"/>
            <family val="2"/>
          </rPr>
          <t xml:space="preserve"> </t>
        </r>
        <r>
          <rPr>
            <sz val="9"/>
            <color indexed="81"/>
            <rFont val="돋움"/>
            <family val="3"/>
            <charset val="129"/>
          </rPr>
          <t>수준</t>
        </r>
        <r>
          <rPr>
            <sz val="9"/>
            <color indexed="81"/>
            <rFont val="Tahoma"/>
            <family val="2"/>
          </rPr>
          <t xml:space="preserve"> </t>
        </r>
        <r>
          <rPr>
            <sz val="9"/>
            <color indexed="81"/>
            <rFont val="돋움"/>
            <family val="3"/>
            <charset val="129"/>
          </rPr>
          <t>판단</t>
        </r>
        <r>
          <rPr>
            <sz val="9"/>
            <color indexed="81"/>
            <rFont val="Tahoma"/>
            <family val="2"/>
          </rPr>
          <t xml:space="preserve"> </t>
        </r>
        <r>
          <rPr>
            <sz val="9"/>
            <color indexed="81"/>
            <rFont val="돋움"/>
            <family val="3"/>
            <charset val="129"/>
          </rPr>
          <t>기준값</t>
        </r>
        <r>
          <rPr>
            <sz val="9"/>
            <color indexed="81"/>
            <rFont val="Tahoma"/>
            <family val="2"/>
          </rPr>
          <t xml:space="preserve"> </t>
        </r>
        <r>
          <rPr>
            <sz val="9"/>
            <color indexed="81"/>
            <rFont val="돋움"/>
            <family val="3"/>
            <charset val="129"/>
          </rPr>
          <t>적용
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난이도</t>
        </r>
        <r>
          <rPr>
            <sz val="9"/>
            <color indexed="81"/>
            <rFont val="Tahoma"/>
            <family val="2"/>
          </rPr>
          <t xml:space="preserve"> </t>
        </r>
        <r>
          <rPr>
            <sz val="9"/>
            <color indexed="81"/>
            <rFont val="돋움"/>
            <family val="3"/>
            <charset val="129"/>
          </rPr>
          <t>수준</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기준
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친숙도</t>
        </r>
        <r>
          <rPr>
            <sz val="9"/>
            <color indexed="81"/>
            <rFont val="Tahoma"/>
            <family val="2"/>
          </rPr>
          <t xml:space="preserve"> </t>
        </r>
        <r>
          <rPr>
            <sz val="9"/>
            <color indexed="81"/>
            <rFont val="돋움"/>
            <family val="3"/>
            <charset val="129"/>
          </rPr>
          <t>수준</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 xml:space="preserve">기준
</t>
        </r>
      </text>
    </comment>
    <comment ref="E44" authorId="1" shapeId="0" xr:uid="{00000000-0006-0000-0300-000018000000}">
      <text>
        <r>
          <rPr>
            <b/>
            <sz val="9"/>
            <color indexed="81"/>
            <rFont val="Tahoma"/>
            <family val="2"/>
          </rPr>
          <t>vdi_admin:</t>
        </r>
        <r>
          <rPr>
            <sz val="9"/>
            <color indexed="81"/>
            <rFont val="Tahoma"/>
            <family val="2"/>
          </rPr>
          <t xml:space="preserve">
</t>
        </r>
        <r>
          <rPr>
            <sz val="9"/>
            <color indexed="81"/>
            <rFont val="돋움"/>
            <family val="3"/>
            <charset val="129"/>
          </rPr>
          <t>ㅇ총</t>
        </r>
        <r>
          <rPr>
            <sz val="9"/>
            <color indexed="81"/>
            <rFont val="Tahoma"/>
            <family val="2"/>
          </rPr>
          <t xml:space="preserve"> </t>
        </r>
        <r>
          <rPr>
            <sz val="9"/>
            <color indexed="81"/>
            <rFont val="돋움"/>
            <family val="3"/>
            <charset val="129"/>
          </rPr>
          <t>변경율이</t>
        </r>
        <r>
          <rPr>
            <sz val="9"/>
            <color indexed="81"/>
            <rFont val="Tahoma"/>
            <family val="2"/>
          </rPr>
          <t xml:space="preserve"> 50 </t>
        </r>
        <r>
          <rPr>
            <sz val="9"/>
            <color indexed="81"/>
            <rFont val="돋움"/>
            <family val="3"/>
            <charset val="129"/>
          </rPr>
          <t>이하인</t>
        </r>
        <r>
          <rPr>
            <sz val="9"/>
            <color indexed="81"/>
            <rFont val="Tahoma"/>
            <family val="2"/>
          </rPr>
          <t xml:space="preserve"> </t>
        </r>
        <r>
          <rPr>
            <sz val="9"/>
            <color indexed="81"/>
            <rFont val="돋움"/>
            <family val="3"/>
            <charset val="129"/>
          </rPr>
          <t>경우의</t>
        </r>
        <r>
          <rPr>
            <sz val="9"/>
            <color indexed="81"/>
            <rFont val="Tahoma"/>
            <family val="2"/>
          </rPr>
          <t xml:space="preserve"> </t>
        </r>
        <r>
          <rPr>
            <sz val="9"/>
            <color indexed="81"/>
            <rFont val="돋움"/>
            <family val="3"/>
            <charset val="129"/>
          </rPr>
          <t>재개발</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 xml:space="preserve">규모
</t>
        </r>
        <r>
          <rPr>
            <sz val="9"/>
            <color indexed="81"/>
            <rFont val="Tahoma"/>
            <family val="2"/>
          </rPr>
          <t xml:space="preserve">   = </t>
        </r>
        <r>
          <rPr>
            <sz val="9"/>
            <color indexed="81"/>
            <rFont val="돋움"/>
            <family val="3"/>
            <charset val="129"/>
          </rPr>
          <t>수정</t>
        </r>
        <r>
          <rPr>
            <sz val="9"/>
            <color indexed="81"/>
            <rFont val="Tahoma"/>
            <family val="2"/>
          </rPr>
          <t xml:space="preserve"> </t>
        </r>
        <r>
          <rPr>
            <sz val="9"/>
            <color indexed="81"/>
            <rFont val="돋움"/>
            <family val="3"/>
            <charset val="129"/>
          </rPr>
          <t>대상</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규모</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노력</t>
        </r>
        <r>
          <rPr>
            <sz val="9"/>
            <color indexed="81"/>
            <rFont val="Tahoma"/>
            <family val="2"/>
          </rPr>
          <t xml:space="preserve"> + </t>
        </r>
        <r>
          <rPr>
            <sz val="9"/>
            <color indexed="81"/>
            <rFont val="돋움"/>
            <family val="3"/>
            <charset val="129"/>
          </rPr>
          <t>총</t>
        </r>
        <r>
          <rPr>
            <sz val="9"/>
            <color indexed="81"/>
            <rFont val="Tahoma"/>
            <family val="2"/>
          </rPr>
          <t xml:space="preserve"> </t>
        </r>
        <r>
          <rPr>
            <sz val="9"/>
            <color indexed="81"/>
            <rFont val="돋움"/>
            <family val="3"/>
            <charset val="129"/>
          </rPr>
          <t>변경율</t>
        </r>
        <r>
          <rPr>
            <sz val="9"/>
            <color indexed="81"/>
            <rFont val="Tahoma"/>
            <family val="2"/>
          </rPr>
          <t xml:space="preserve"> ×
   {1 + 0.02(</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난이도</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친숙도</t>
        </r>
        <r>
          <rPr>
            <sz val="9"/>
            <color indexed="81"/>
            <rFont val="Tahoma"/>
            <family val="2"/>
          </rPr>
          <t xml:space="preserve">)}] ÷ 100
</t>
        </r>
        <r>
          <rPr>
            <sz val="9"/>
            <color indexed="81"/>
            <rFont val="돋움"/>
            <family val="3"/>
            <charset val="129"/>
          </rPr>
          <t>ㅇ총</t>
        </r>
        <r>
          <rPr>
            <sz val="9"/>
            <color indexed="81"/>
            <rFont val="Tahoma"/>
            <family val="2"/>
          </rPr>
          <t xml:space="preserve"> </t>
        </r>
        <r>
          <rPr>
            <sz val="9"/>
            <color indexed="81"/>
            <rFont val="돋움"/>
            <family val="3"/>
            <charset val="129"/>
          </rPr>
          <t>변경율이</t>
        </r>
        <r>
          <rPr>
            <sz val="9"/>
            <color indexed="81"/>
            <rFont val="Tahoma"/>
            <family val="2"/>
          </rPr>
          <t xml:space="preserve"> 50 </t>
        </r>
        <r>
          <rPr>
            <sz val="9"/>
            <color indexed="81"/>
            <rFont val="돋움"/>
            <family val="3"/>
            <charset val="129"/>
          </rPr>
          <t>초과인</t>
        </r>
        <r>
          <rPr>
            <sz val="9"/>
            <color indexed="81"/>
            <rFont val="Tahoma"/>
            <family val="2"/>
          </rPr>
          <t xml:space="preserve"> </t>
        </r>
        <r>
          <rPr>
            <sz val="9"/>
            <color indexed="81"/>
            <rFont val="돋움"/>
            <family val="3"/>
            <charset val="129"/>
          </rPr>
          <t>경우의</t>
        </r>
        <r>
          <rPr>
            <sz val="9"/>
            <color indexed="81"/>
            <rFont val="Tahoma"/>
            <family val="2"/>
          </rPr>
          <t xml:space="preserve"> </t>
        </r>
        <r>
          <rPr>
            <sz val="9"/>
            <color indexed="81"/>
            <rFont val="돋움"/>
            <family val="3"/>
            <charset val="129"/>
          </rPr>
          <t>재개발</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 xml:space="preserve">규모
</t>
        </r>
        <r>
          <rPr>
            <sz val="9"/>
            <color indexed="81"/>
            <rFont val="Tahoma"/>
            <family val="2"/>
          </rPr>
          <t xml:space="preserve">   = </t>
        </r>
        <r>
          <rPr>
            <sz val="9"/>
            <color indexed="81"/>
            <rFont val="돋움"/>
            <family val="3"/>
            <charset val="129"/>
          </rPr>
          <t>수정</t>
        </r>
        <r>
          <rPr>
            <sz val="9"/>
            <color indexed="81"/>
            <rFont val="Tahoma"/>
            <family val="2"/>
          </rPr>
          <t xml:space="preserve"> </t>
        </r>
        <r>
          <rPr>
            <sz val="9"/>
            <color indexed="81"/>
            <rFont val="돋움"/>
            <family val="3"/>
            <charset val="129"/>
          </rPr>
          <t>대상</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규모</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평가</t>
        </r>
        <r>
          <rPr>
            <sz val="9"/>
            <color indexed="81"/>
            <rFont val="Tahoma"/>
            <family val="2"/>
          </rPr>
          <t xml:space="preserve"> </t>
        </r>
        <r>
          <rPr>
            <sz val="9"/>
            <color indexed="81"/>
            <rFont val="돋움"/>
            <family val="3"/>
            <charset val="129"/>
          </rPr>
          <t>노력</t>
        </r>
        <r>
          <rPr>
            <sz val="9"/>
            <color indexed="81"/>
            <rFont val="Tahoma"/>
            <family val="2"/>
          </rPr>
          <t xml:space="preserve"> + </t>
        </r>
        <r>
          <rPr>
            <sz val="9"/>
            <color indexed="81"/>
            <rFont val="돋움"/>
            <family val="3"/>
            <charset val="129"/>
          </rPr>
          <t>총</t>
        </r>
        <r>
          <rPr>
            <sz val="9"/>
            <color indexed="81"/>
            <rFont val="Tahoma"/>
            <family val="2"/>
          </rPr>
          <t xml:space="preserve"> </t>
        </r>
        <r>
          <rPr>
            <sz val="9"/>
            <color indexed="81"/>
            <rFont val="돋움"/>
            <family val="3"/>
            <charset val="129"/>
          </rPr>
          <t xml:space="preserve">변경율
</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난이도</t>
        </r>
        <r>
          <rPr>
            <sz val="9"/>
            <color indexed="81"/>
            <rFont val="Tahoma"/>
            <family val="2"/>
          </rPr>
          <t xml:space="preserve"> ×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친숙도</t>
        </r>
        <r>
          <rPr>
            <sz val="9"/>
            <color indexed="81"/>
            <rFont val="Tahoma"/>
            <family val="2"/>
          </rPr>
          <t xml:space="preserve">)} ÷ 100
</t>
        </r>
        <r>
          <rPr>
            <sz val="9"/>
            <color indexed="81"/>
            <rFont val="돋움"/>
            <family val="3"/>
            <charset val="129"/>
          </rPr>
          <t>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평가노력</t>
        </r>
        <r>
          <rPr>
            <sz val="9"/>
            <color indexed="81"/>
            <rFont val="Tahoma"/>
            <family val="2"/>
          </rPr>
          <t>-2 (</t>
        </r>
        <r>
          <rPr>
            <sz val="9"/>
            <color indexed="81"/>
            <rFont val="돋움"/>
            <family val="3"/>
            <charset val="129"/>
          </rPr>
          <t>보통</t>
        </r>
        <r>
          <rPr>
            <sz val="9"/>
            <color indexed="81"/>
            <rFont val="Tahoma"/>
            <family val="2"/>
          </rPr>
          <t xml:space="preserve">)
</t>
        </r>
        <r>
          <rPr>
            <sz val="9"/>
            <color indexed="81"/>
            <rFont val="돋움"/>
            <family val="3"/>
            <charset val="129"/>
          </rPr>
          <t>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난이도</t>
        </r>
        <r>
          <rPr>
            <sz val="9"/>
            <color indexed="81"/>
            <rFont val="Tahoma"/>
            <family val="2"/>
          </rPr>
          <t>-30 (</t>
        </r>
        <r>
          <rPr>
            <sz val="9"/>
            <color indexed="81"/>
            <rFont val="돋움"/>
            <family val="3"/>
            <charset val="129"/>
          </rPr>
          <t>보통</t>
        </r>
        <r>
          <rPr>
            <sz val="9"/>
            <color indexed="81"/>
            <rFont val="Tahoma"/>
            <family val="2"/>
          </rPr>
          <t xml:space="preserve">)
</t>
        </r>
        <r>
          <rPr>
            <sz val="9"/>
            <color indexed="81"/>
            <rFont val="돋움"/>
            <family val="3"/>
            <charset val="129"/>
          </rPr>
          <t>ㅇ</t>
        </r>
        <r>
          <rPr>
            <sz val="9"/>
            <color indexed="81"/>
            <rFont val="Tahoma"/>
            <family val="2"/>
          </rPr>
          <t xml:space="preserve"> </t>
        </r>
        <r>
          <rPr>
            <sz val="9"/>
            <color indexed="81"/>
            <rFont val="돋움"/>
            <family val="3"/>
            <charset val="129"/>
          </rPr>
          <t>재사용</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친숙도</t>
        </r>
        <r>
          <rPr>
            <sz val="9"/>
            <color indexed="81"/>
            <rFont val="Tahoma"/>
            <family val="2"/>
          </rPr>
          <t>-0.2 (</t>
        </r>
        <r>
          <rPr>
            <sz val="9"/>
            <color indexed="81"/>
            <rFont val="돋움"/>
            <family val="3"/>
            <charset val="129"/>
          </rPr>
          <t>보통</t>
        </r>
        <r>
          <rPr>
            <sz val="9"/>
            <color indexed="81"/>
            <rFont val="Tahoma"/>
            <family val="2"/>
          </rPr>
          <t>)</t>
        </r>
      </text>
    </comment>
    <comment ref="C45" authorId="1" shapeId="0" xr:uid="{00000000-0006-0000-0300-000019000000}">
      <text>
        <r>
          <rPr>
            <b/>
            <sz val="9"/>
            <color indexed="81"/>
            <rFont val="Tahoma"/>
            <family val="2"/>
          </rPr>
          <t>vdi_admin:</t>
        </r>
        <r>
          <rPr>
            <sz val="9"/>
            <color indexed="81"/>
            <rFont val="Tahoma"/>
            <family val="2"/>
          </rPr>
          <t xml:space="preserve">
</t>
        </r>
        <r>
          <rPr>
            <sz val="9"/>
            <color indexed="81"/>
            <rFont val="돋움"/>
            <family val="3"/>
            <charset val="129"/>
          </rPr>
          <t>평균가중치</t>
        </r>
        <r>
          <rPr>
            <sz val="9"/>
            <color indexed="81"/>
            <rFont val="Tahoma"/>
            <family val="2"/>
          </rPr>
          <t xml:space="preserve"> </t>
        </r>
        <r>
          <rPr>
            <sz val="9"/>
            <color indexed="81"/>
            <rFont val="돋움"/>
            <family val="3"/>
            <charset val="129"/>
          </rPr>
          <t>적용
통합</t>
        </r>
        <r>
          <rPr>
            <sz val="9"/>
            <color indexed="81"/>
            <rFont val="Tahoma"/>
            <family val="2"/>
          </rPr>
          <t xml:space="preserve"> </t>
        </r>
        <r>
          <rPr>
            <sz val="9"/>
            <color indexed="81"/>
            <rFont val="돋움"/>
            <family val="3"/>
            <charset val="129"/>
          </rPr>
          <t>설계</t>
        </r>
        <r>
          <rPr>
            <sz val="9"/>
            <color indexed="81"/>
            <rFont val="Tahoma"/>
            <family val="2"/>
          </rPr>
          <t xml:space="preserve"> </t>
        </r>
        <r>
          <rPr>
            <sz val="9"/>
            <color indexed="81"/>
            <rFont val="돋움"/>
            <family val="3"/>
            <charset val="129"/>
          </rPr>
          <t>변경율</t>
        </r>
        <r>
          <rPr>
            <sz val="9"/>
            <color indexed="81"/>
            <rFont val="Tahoma"/>
            <family val="2"/>
          </rPr>
          <t xml:space="preserve"> = (</t>
        </r>
        <r>
          <rPr>
            <sz val="9"/>
            <color indexed="81"/>
            <rFont val="돋움"/>
            <family val="3"/>
            <charset val="129"/>
          </rPr>
          <t>변경데이타</t>
        </r>
        <r>
          <rPr>
            <sz val="9"/>
            <color indexed="81"/>
            <rFont val="Tahoma"/>
            <family val="2"/>
          </rPr>
          <t>FP/</t>
        </r>
        <r>
          <rPr>
            <sz val="9"/>
            <color indexed="81"/>
            <rFont val="돋움"/>
            <family val="3"/>
            <charset val="129"/>
          </rPr>
          <t>변경</t>
        </r>
        <r>
          <rPr>
            <sz val="9"/>
            <color indexed="81"/>
            <rFont val="Tahoma"/>
            <family val="2"/>
          </rPr>
          <t>FP*</t>
        </r>
        <r>
          <rPr>
            <sz val="9"/>
            <color indexed="81"/>
            <rFont val="돋움"/>
            <family val="3"/>
            <charset val="129"/>
          </rPr>
          <t>데이터</t>
        </r>
        <r>
          <rPr>
            <sz val="9"/>
            <color indexed="81"/>
            <rFont val="Tahoma"/>
            <family val="2"/>
          </rPr>
          <t xml:space="preserve"> </t>
        </r>
        <r>
          <rPr>
            <sz val="9"/>
            <color indexed="81"/>
            <rFont val="돋움"/>
            <family val="3"/>
            <charset val="129"/>
          </rPr>
          <t>변경율</t>
        </r>
        <r>
          <rPr>
            <sz val="9"/>
            <color indexed="81"/>
            <rFont val="Tahoma"/>
            <family val="2"/>
          </rPr>
          <t>) + (</t>
        </r>
        <r>
          <rPr>
            <sz val="9"/>
            <color indexed="81"/>
            <rFont val="돋움"/>
            <family val="3"/>
            <charset val="129"/>
          </rPr>
          <t>변경트랜잭션</t>
        </r>
        <r>
          <rPr>
            <sz val="9"/>
            <color indexed="81"/>
            <rFont val="Tahoma"/>
            <family val="2"/>
          </rPr>
          <t>/</t>
        </r>
        <r>
          <rPr>
            <sz val="9"/>
            <color indexed="81"/>
            <rFont val="돋움"/>
            <family val="3"/>
            <charset val="129"/>
          </rPr>
          <t>변경</t>
        </r>
        <r>
          <rPr>
            <sz val="9"/>
            <color indexed="81"/>
            <rFont val="Tahoma"/>
            <family val="2"/>
          </rPr>
          <t>FP*</t>
        </r>
        <r>
          <rPr>
            <sz val="9"/>
            <color indexed="81"/>
            <rFont val="돋움"/>
            <family val="3"/>
            <charset val="129"/>
          </rPr>
          <t>트랜잭션</t>
        </r>
        <r>
          <rPr>
            <sz val="9"/>
            <color indexed="81"/>
            <rFont val="Tahoma"/>
            <family val="2"/>
          </rPr>
          <t xml:space="preserve"> </t>
        </r>
        <r>
          <rPr>
            <sz val="9"/>
            <color indexed="81"/>
            <rFont val="돋움"/>
            <family val="3"/>
            <charset val="129"/>
          </rPr>
          <t>변경율</t>
        </r>
        <r>
          <rPr>
            <sz val="9"/>
            <color indexed="81"/>
            <rFont val="Tahoma"/>
            <family val="2"/>
          </rPr>
          <t xml:space="preserve">)
</t>
        </r>
        <r>
          <rPr>
            <sz val="9"/>
            <color indexed="81"/>
            <rFont val="돋움"/>
            <family val="3"/>
            <charset val="129"/>
          </rPr>
          <t>통합</t>
        </r>
        <r>
          <rPr>
            <sz val="9"/>
            <color indexed="81"/>
            <rFont val="Tahoma"/>
            <family val="2"/>
          </rPr>
          <t xml:space="preserve"> </t>
        </r>
        <r>
          <rPr>
            <sz val="9"/>
            <color indexed="81"/>
            <rFont val="돋움"/>
            <family val="3"/>
            <charset val="129"/>
          </rPr>
          <t>설계</t>
        </r>
        <r>
          <rPr>
            <sz val="9"/>
            <color indexed="81"/>
            <rFont val="Tahoma"/>
            <family val="2"/>
          </rPr>
          <t xml:space="preserve"> </t>
        </r>
        <r>
          <rPr>
            <sz val="9"/>
            <color indexed="81"/>
            <rFont val="돋움"/>
            <family val="3"/>
            <charset val="129"/>
          </rPr>
          <t>변경율</t>
        </r>
        <r>
          <rPr>
            <sz val="9"/>
            <color indexed="81"/>
            <rFont val="Tahoma"/>
            <family val="2"/>
          </rPr>
          <t xml:space="preserve"> = (39 / 59 × 22.05%) + (20 / 59 × 25.8%) = 23.32%</t>
        </r>
      </text>
    </comment>
    <comment ref="D50" authorId="1" shapeId="0" xr:uid="{00000000-0006-0000-0300-00001A000000}">
      <text>
        <r>
          <rPr>
            <b/>
            <sz val="12"/>
            <color indexed="81"/>
            <rFont val="Tahoma"/>
            <family val="2"/>
          </rPr>
          <t>[</t>
        </r>
        <r>
          <rPr>
            <b/>
            <sz val="12"/>
            <color indexed="81"/>
            <rFont val="돋움"/>
            <family val="3"/>
            <charset val="129"/>
          </rPr>
          <t>적용방법</t>
        </r>
        <r>
          <rPr>
            <b/>
            <sz val="12"/>
            <color indexed="81"/>
            <rFont val="Tahoma"/>
            <family val="2"/>
          </rPr>
          <t>]
SW</t>
        </r>
        <r>
          <rPr>
            <b/>
            <sz val="12"/>
            <color indexed="81"/>
            <rFont val="돋움"/>
            <family val="3"/>
            <charset val="129"/>
          </rPr>
          <t>평균</t>
        </r>
        <r>
          <rPr>
            <b/>
            <sz val="12"/>
            <color indexed="81"/>
            <rFont val="Tahoma"/>
            <family val="2"/>
          </rPr>
          <t xml:space="preserve"> </t>
        </r>
        <r>
          <rPr>
            <b/>
            <sz val="12"/>
            <color indexed="81"/>
            <rFont val="돋움"/>
            <family val="3"/>
            <charset val="129"/>
          </rPr>
          <t>적용이윤율</t>
        </r>
        <r>
          <rPr>
            <b/>
            <sz val="12"/>
            <color indexed="81"/>
            <rFont val="Tahoma"/>
            <family val="2"/>
          </rPr>
          <t xml:space="preserve"> 25%
</t>
        </r>
        <r>
          <rPr>
            <b/>
            <sz val="12"/>
            <color indexed="81"/>
            <rFont val="돋움"/>
            <family val="3"/>
            <charset val="129"/>
          </rPr>
          <t>적용이윤율은</t>
        </r>
        <r>
          <rPr>
            <b/>
            <sz val="12"/>
            <color indexed="81"/>
            <rFont val="Tahoma"/>
            <family val="2"/>
          </rPr>
          <t xml:space="preserve"> 20% </t>
        </r>
        <r>
          <rPr>
            <b/>
            <sz val="12"/>
            <color indexed="81"/>
            <rFont val="돋움"/>
            <family val="3"/>
            <charset val="129"/>
          </rPr>
          <t>적용</t>
        </r>
      </text>
    </comment>
  </commentList>
</comments>
</file>

<file path=xl/sharedStrings.xml><?xml version="1.0" encoding="utf-8"?>
<sst xmlns="http://schemas.openxmlformats.org/spreadsheetml/2006/main" count="1084" uniqueCount="651">
  <si>
    <t>기술료</t>
    <phoneticPr fontId="5" type="noConversion"/>
  </si>
  <si>
    <t>협력사</t>
  </si>
  <si>
    <t xml:space="preserve">네이블커뮤니케이션즈 </t>
  </si>
  <si>
    <t>네이버시스템</t>
  </si>
  <si>
    <t>디케이아이테크놀로지</t>
  </si>
  <si>
    <t>데이사이드</t>
  </si>
  <si>
    <t>넷츠</t>
  </si>
  <si>
    <t>스퀘어네트</t>
  </si>
  <si>
    <t>솔보텍</t>
  </si>
  <si>
    <t>알티캐스트</t>
  </si>
  <si>
    <t>스마트구루</t>
  </si>
  <si>
    <t>스프링웨이브</t>
  </si>
  <si>
    <t>알앤비소프트웨어</t>
  </si>
  <si>
    <t>쌍용정보통신</t>
  </si>
  <si>
    <t xml:space="preserve">티아이스퀘어 </t>
  </si>
  <si>
    <t>아리엘네트웍스</t>
  </si>
  <si>
    <t xml:space="preserve">헬릭스테크 </t>
  </si>
  <si>
    <t>아롬정보기술</t>
  </si>
  <si>
    <t>휴빌론</t>
  </si>
  <si>
    <t>애니모비</t>
  </si>
  <si>
    <t>파이언넷</t>
  </si>
  <si>
    <t>엔비웨어</t>
  </si>
  <si>
    <t>유아이투</t>
  </si>
  <si>
    <t>인텔리안시스템즈</t>
  </si>
  <si>
    <t>제이윈파트너스</t>
  </si>
  <si>
    <t>유엘씨시스템즈</t>
  </si>
  <si>
    <t>지어소프트</t>
  </si>
  <si>
    <t>인소프트</t>
  </si>
  <si>
    <t>크레디프</t>
  </si>
  <si>
    <t>텔레트론</t>
  </si>
  <si>
    <t>한솔인티큐브</t>
  </si>
  <si>
    <t>헤리트</t>
  </si>
  <si>
    <t>구분</t>
  </si>
  <si>
    <t xml:space="preserve">직무 정의 </t>
  </si>
  <si>
    <t>조직의 경영목표를 달성하기 위하여 IT전략을 기획하고, 거버넌스, 투자성과분석, 운영 정책, R&amp;D, 프로세스, 아키텍처 등 분야 별 전략을 수립하는 자이다.</t>
  </si>
  <si>
    <t>조직의 목표를 달성하는데 도움이 될 수 있도록, 객관적인 시각에서 조직 경영 환경을 이해하고 대상 업무 및 정보시스템을 분석하여 개선 방안을 지도, 자문 및 상담을 수행하는 자이다.　</t>
  </si>
  <si>
    <t xml:space="preserve">주요 정보자산을 보호하기 위한 관리적, 물리적, 기술적 영역의 보안 요구사항과 사전 정의된 프로세스에 대해 객관적인 충족여부를 검증하고 자문하는 자이다. </t>
  </si>
  <si>
    <t>데이터 이해 및 처리 기술에 대한 기본지식을 바탕으로 데이터 분석 기획, 데이터 분석, 데이터 시각화 업무를 수행하고 이를 통해 프로세스 혁신 및 마케팅 전략 결정 등의 과학적 의사결정을 지원하는 자이다.</t>
  </si>
  <si>
    <t>IT프로젝트 인도물의 납기 준수를 위하여 프로젝트를 기획하고, 범위, 일정, 원가, 인적자원, 품질, 위험, 의사소통, 조달, 변경, 보안, 정보시스템 성과 등을 통합 관리하는 자이다.　</t>
  </si>
  <si>
    <t>명확한 의사결정과 방향 설정이 가능토록 지표를 제공하고 사업관리 지침 및 표준화 방안 제시, 주요이슈, 위험, 자원, 일정/문서, 범위관리를 통하여 프로젝트 수행을 지원하는 자이다.　</t>
  </si>
  <si>
    <t>SW의 기능, 성능, 보안 등의 품질을 보장하고 SW를 구성하는 요소와 관계를 분석, 설계하여 전체적인 SW 구조를 체계화하는 자이다.　</t>
  </si>
  <si>
    <t>하드웨어, 미들웨어, 네트워크, 클라우드를 포함하는 인프라를 설계, 구성하여 모든 지원들의 적합성 및 신뢰성 있는 서비스를 제공할 수 있도록 체계화하는 자이다.</t>
  </si>
  <si>
    <t>데이터를 구조적 관점에서 설계, 생성, 배치, 관리하며, 다양한 데이터 엔터티뿐만 아니라 해당 데이터를 처리하는 애플리케이션에 의해 데이터가 저장, 소비, 통합 및 관리될 수 있도록 체계화하는 자이다.</t>
  </si>
  <si>
    <t>사용자의 이용형태 및 기술환경을 분석하여, 사용자 인터페이스(UI/UX)의 기획 및 아키텍처를 구축하고, 프로토타입 검증, 설계 및 구현 과정을 통해 효과적인 UI/UX를 개발하는 자이다.</t>
  </si>
  <si>
    <t>운영체제 환경에서 시스템 자원을 제어 및 관리하는 소프트웨어와 응용프로그램의 동작을 위한 시스템 플랫폼의 요구사항 분석 및 설계, 구현, 배포를 수행하는 자이다.</t>
  </si>
  <si>
    <t>하드웨어 플랫폼에 대한 이해를 바탕으로 플랫폼별 운영체제 이식과 펌웨어, 디바이스 드라이버, 애플리케이션 등의 SW를 개발하고, 하드웨어 플랫폼 최적화를 수행하는 자이다.</t>
  </si>
  <si>
    <t>데이터에 대한 요구사항으로부터 데이터베이스를 설계, 구축, 전환하고, 최적의 성능과 품질을 확보하도록 추이분석 등을 통하여 데이터베이스를 수정, 개선, 백업하는 등의 업무를 수행하는 자이다.</t>
  </si>
  <si>
    <t>네트워크 환경을 분석하고 네트워크에 대한 토폴로지, 자원관리, 품질 관리를 설계하고 구성하는 자이다.</t>
  </si>
  <si>
    <t>IT분야의 기술교육을 체계적이고 효과적으로 수행하기 위하여 IT기술교육 방향 수립과 IT기술교육 환경조성, IT기술교육 교과개발 및 자료개발, IT기술교육 성과평가 등을 통해 성과 향상을 수행하는 일이다</t>
  </si>
  <si>
    <t>M/M</t>
    <phoneticPr fontId="5" type="noConversion"/>
  </si>
  <si>
    <t>산정 M/M</t>
    <phoneticPr fontId="2" type="noConversion"/>
  </si>
  <si>
    <t>M+1</t>
    <phoneticPr fontId="2" type="noConversion"/>
  </si>
  <si>
    <t>M+3</t>
    <phoneticPr fontId="2" type="noConversion"/>
  </si>
  <si>
    <t>M+4</t>
    <phoneticPr fontId="2" type="noConversion"/>
  </si>
  <si>
    <t>M+8</t>
    <phoneticPr fontId="2" type="noConversion"/>
  </si>
  <si>
    <t>M+9</t>
    <phoneticPr fontId="2" type="noConversion"/>
  </si>
  <si>
    <t>M+12</t>
    <phoneticPr fontId="2" type="noConversion"/>
  </si>
  <si>
    <t>ITSQF 직무체계 및 정의</t>
    <phoneticPr fontId="2" type="noConversion"/>
  </si>
  <si>
    <t>직종</t>
    <phoneticPr fontId="5" type="noConversion"/>
  </si>
  <si>
    <t>구분</t>
    <phoneticPr fontId="5" type="noConversion"/>
  </si>
  <si>
    <t>제경비</t>
    <phoneticPr fontId="5" type="noConversion"/>
  </si>
  <si>
    <t>업무 투입 내역</t>
    <phoneticPr fontId="2" type="noConversion"/>
  </si>
  <si>
    <t>□ 사업명</t>
    <phoneticPr fontId="2" type="noConversion"/>
  </si>
  <si>
    <t>□ 업무 투입 내역</t>
    <phoneticPr fontId="2" type="noConversion"/>
  </si>
  <si>
    <t>업무</t>
    <phoneticPr fontId="2" type="noConversion"/>
  </si>
  <si>
    <t>직무</t>
    <phoneticPr fontId="2" type="noConversion"/>
  </si>
  <si>
    <t>M+2</t>
    <phoneticPr fontId="2" type="noConversion"/>
  </si>
  <si>
    <t>M+5</t>
    <phoneticPr fontId="2" type="noConversion"/>
  </si>
  <si>
    <t>M+6</t>
    <phoneticPr fontId="2" type="noConversion"/>
  </si>
  <si>
    <t>M+7</t>
    <phoneticPr fontId="2" type="noConversion"/>
  </si>
  <si>
    <t>M+10</t>
    <phoneticPr fontId="2" type="noConversion"/>
  </si>
  <si>
    <t>M+11</t>
    <phoneticPr fontId="2" type="noConversion"/>
  </si>
  <si>
    <t>* 1개월은 최대 20.9일로 인정(매년 적용 기준 공시)</t>
    <phoneticPr fontId="2" type="noConversion"/>
  </si>
  <si>
    <t>□ 전체 기능 등급별 투입 MM</t>
    <phoneticPr fontId="2" type="noConversion"/>
  </si>
  <si>
    <t>기술등급</t>
    <phoneticPr fontId="2" type="noConversion"/>
  </si>
  <si>
    <t>산정 M/M</t>
    <phoneticPr fontId="2" type="noConversion"/>
  </si>
  <si>
    <t>직접경비</t>
    <phoneticPr fontId="2" type="noConversion"/>
  </si>
  <si>
    <t>총 예산 ( MM + 직접경비)</t>
    <phoneticPr fontId="2" type="noConversion"/>
  </si>
  <si>
    <t>담당자명</t>
    <phoneticPr fontId="5" type="noConversion"/>
  </si>
  <si>
    <t>운용부서 담당</t>
    <phoneticPr fontId="5" type="noConversion"/>
  </si>
  <si>
    <t>현사업의 KT유관부서</t>
    <phoneticPr fontId="5" type="noConversion"/>
  </si>
  <si>
    <t>IT컨설턴트</t>
  </si>
  <si>
    <t>IT감리</t>
  </si>
  <si>
    <t>IT기획자</t>
  </si>
  <si>
    <t>IT기술영업</t>
  </si>
  <si>
    <t>데이터분석가</t>
  </si>
  <si>
    <t>IT감사</t>
  </si>
  <si>
    <t>금액</t>
    <phoneticPr fontId="2" type="noConversion"/>
  </si>
  <si>
    <t>평균단가</t>
    <phoneticPr fontId="2" type="noConversion"/>
  </si>
  <si>
    <t>총 MM</t>
    <phoneticPr fontId="2" type="noConversion"/>
  </si>
  <si>
    <t xml:space="preserve"> 소계</t>
    <phoneticPr fontId="2" type="noConversion"/>
  </si>
  <si>
    <t>등급</t>
    <phoneticPr fontId="2" type="noConversion"/>
  </si>
  <si>
    <t>공통</t>
    <phoneticPr fontId="2" type="noConversion"/>
  </si>
  <si>
    <t>단가</t>
    <phoneticPr fontId="2" type="noConversion"/>
  </si>
  <si>
    <t>IT품질관리자</t>
  </si>
  <si>
    <t>IT PM</t>
  </si>
  <si>
    <t>IT테스터</t>
  </si>
  <si>
    <t>공통사업</t>
    <phoneticPr fontId="2" type="noConversion"/>
  </si>
  <si>
    <t>합계</t>
    <phoneticPr fontId="5" type="noConversion"/>
  </si>
  <si>
    <t>구 분</t>
  </si>
  <si>
    <t xml:space="preserve">업무분석가 </t>
  </si>
  <si>
    <t>정보기술기획</t>
  </si>
  <si>
    <t>정보기술
컨설팅</t>
    <phoneticPr fontId="2" type="noConversion"/>
  </si>
  <si>
    <t>정보보호
컨설팅</t>
    <phoneticPr fontId="2" type="noConversion"/>
  </si>
  <si>
    <t>업무분석</t>
  </si>
  <si>
    <t>데이터분석</t>
  </si>
  <si>
    <t>IT프로젝트관리</t>
    <phoneticPr fontId="2" type="noConversion"/>
  </si>
  <si>
    <t>IT프로젝트사업관리</t>
    <phoneticPr fontId="2" type="noConversion"/>
  </si>
  <si>
    <t>SW아키텍처</t>
  </si>
  <si>
    <t>Infrastructure아키텍처</t>
    <phoneticPr fontId="2" type="noConversion"/>
  </si>
  <si>
    <t>데이터아키텍처</t>
  </si>
  <si>
    <t>UI/UX개발</t>
  </si>
  <si>
    <t>UI/UX디자인</t>
    <phoneticPr fontId="2" type="noConversion"/>
  </si>
  <si>
    <t>응용SW개발</t>
  </si>
  <si>
    <t>시스템SW개발</t>
  </si>
  <si>
    <t>임베디드
SW개발</t>
    <phoneticPr fontId="2" type="noConversion"/>
  </si>
  <si>
    <t>데이터베이스
관리</t>
    <phoneticPr fontId="2" type="noConversion"/>
  </si>
  <si>
    <t>NW엔지니어링</t>
  </si>
  <si>
    <t>IT시스템관리</t>
  </si>
  <si>
    <t>SW제품기획</t>
  </si>
  <si>
    <t>IT서비스기획</t>
  </si>
  <si>
    <t>IT품질관리</t>
  </si>
  <si>
    <t>IT테스트</t>
  </si>
  <si>
    <t>정보보호관리</t>
  </si>
  <si>
    <t>보안사고대응</t>
  </si>
  <si>
    <t>IT기술교육</t>
  </si>
  <si>
    <t>ITSQF 직무</t>
    <phoneticPr fontId="2" type="noConversion"/>
  </si>
  <si>
    <t>SW 기술자 노임단가(SM기준)</t>
    <phoneticPr fontId="2" type="noConversion"/>
  </si>
  <si>
    <t xml:space="preserve">ㅇ 현 쉬트 작성은 예산규모 계산시 작성항목이 개발비 산정금액에반영되므로 정확히 기입하시기 바랍니다. </t>
    <phoneticPr fontId="5" type="noConversion"/>
  </si>
  <si>
    <t>ㅇ 정확히 작성하지 않으면 현양식의 개발규모 산정치의 근사치가 수준이 낮아집니다</t>
    <phoneticPr fontId="5" type="noConversion"/>
  </si>
  <si>
    <t>사업명</t>
    <phoneticPr fontId="5" type="noConversion"/>
  </si>
  <si>
    <t>구분</t>
    <phoneticPr fontId="5" type="noConversion"/>
  </si>
  <si>
    <t>부문</t>
    <phoneticPr fontId="5" type="noConversion"/>
  </si>
  <si>
    <t>본부</t>
    <phoneticPr fontId="5" type="noConversion"/>
  </si>
  <si>
    <t>부서</t>
    <phoneticPr fontId="5" type="noConversion"/>
  </si>
  <si>
    <t>연락처</t>
    <phoneticPr fontId="5" type="noConversion"/>
  </si>
  <si>
    <t>사업부서 담당</t>
    <phoneticPr fontId="5" type="noConversion"/>
  </si>
  <si>
    <t>개발부서 담당</t>
    <phoneticPr fontId="5" type="noConversion"/>
  </si>
  <si>
    <t>FP검토자(KT직원)</t>
    <phoneticPr fontId="5" type="noConversion"/>
  </si>
  <si>
    <r>
      <t xml:space="preserve">KT직원이 꼭 검토자가 되어야 함 </t>
    </r>
    <r>
      <rPr>
        <sz val="10"/>
        <rFont val="맑은 고딕"/>
        <family val="3"/>
        <charset val="129"/>
      </rPr>
      <t>▶</t>
    </r>
    <phoneticPr fontId="10" type="noConversion"/>
  </si>
  <si>
    <t>FP작성자</t>
    <phoneticPr fontId="5" type="noConversion"/>
  </si>
  <si>
    <t>KT직원 혹은 협력업체 모두 가능 ▶</t>
    <phoneticPr fontId="10" type="noConversion"/>
  </si>
  <si>
    <t xml:space="preserve"> 배정된 총 예산금액</t>
    <phoneticPr fontId="5" type="noConversion"/>
  </si>
  <si>
    <r>
      <t xml:space="preserve">◀  현 개발사업의 확정/배정된 </t>
    </r>
    <r>
      <rPr>
        <sz val="10"/>
        <color rgb="FFFF0000"/>
        <rFont val="돋움"/>
        <family val="3"/>
        <charset val="129"/>
      </rPr>
      <t>개발비 총계</t>
    </r>
    <r>
      <rPr>
        <sz val="10"/>
        <rFont val="돋움"/>
        <family val="3"/>
        <charset val="129"/>
      </rPr>
      <t>를 정확히 입력하세요</t>
    </r>
    <r>
      <rPr>
        <sz val="10"/>
        <color rgb="FFFF0000"/>
        <rFont val="돋움"/>
        <family val="3"/>
        <charset val="129"/>
      </rPr>
      <t>(중요)-순수 개발비만 입력</t>
    </r>
    <phoneticPr fontId="10" type="noConversion"/>
  </si>
  <si>
    <t xml:space="preserve"> 기능점수 작성한 금액</t>
    <phoneticPr fontId="5" type="noConversion"/>
  </si>
  <si>
    <t>◀  자동계산됨</t>
    <phoneticPr fontId="10" type="noConversion"/>
  </si>
  <si>
    <t>기능점수 작성 불가한 금액</t>
    <phoneticPr fontId="5" type="noConversion"/>
  </si>
  <si>
    <t>투입인력</t>
    <phoneticPr fontId="10" type="noConversion"/>
  </si>
  <si>
    <t>사유:</t>
    <phoneticPr fontId="10" type="noConversion"/>
  </si>
  <si>
    <t>직접경비</t>
    <phoneticPr fontId="10" type="noConversion"/>
  </si>
  <si>
    <t>서비스표준등급</t>
    <phoneticPr fontId="5" type="noConversion"/>
  </si>
  <si>
    <t>IT표준서비스코드</t>
    <phoneticPr fontId="10" type="noConversion"/>
  </si>
  <si>
    <t>IT표준서비스코드명</t>
    <phoneticPr fontId="10" type="noConversion"/>
  </si>
  <si>
    <t>* 표준서비스코드별 작성 필수</t>
    <phoneticPr fontId="10" type="noConversion"/>
  </si>
  <si>
    <t>협력사 Pool 해당분야</t>
    <phoneticPr fontId="5" type="noConversion"/>
  </si>
  <si>
    <t>웹_앱</t>
  </si>
  <si>
    <t>◀ 검토된 분야 Pool내 경쟁입찰 원칙</t>
    <phoneticPr fontId="10" type="noConversion"/>
  </si>
  <si>
    <t>과업유형(SI, SM, OP)</t>
    <phoneticPr fontId="10" type="noConversion"/>
  </si>
  <si>
    <t>SI(신규개발)</t>
  </si>
  <si>
    <t>계약방식</t>
    <phoneticPr fontId="5" type="noConversion"/>
  </si>
  <si>
    <t>수의계약</t>
    <phoneticPr fontId="10" type="noConversion"/>
  </si>
  <si>
    <t>◀   계약방식을 선택해 주세요.</t>
    <phoneticPr fontId="5" type="noConversion"/>
  </si>
  <si>
    <t>협력사 Pool 여부</t>
    <phoneticPr fontId="10" type="noConversion"/>
  </si>
  <si>
    <t>◀   수의계약시만 아래 작성요.</t>
    <phoneticPr fontId="10" type="noConversion"/>
  </si>
  <si>
    <t>선 택</t>
    <phoneticPr fontId="10" type="noConversion"/>
  </si>
  <si>
    <t>경영_영업</t>
    <phoneticPr fontId="2" type="noConversion"/>
  </si>
  <si>
    <t>단말</t>
    <phoneticPr fontId="2" type="noConversion"/>
  </si>
  <si>
    <t>솔루션</t>
    <phoneticPr fontId="2" type="noConversion"/>
  </si>
  <si>
    <t>웹_앱</t>
    <phoneticPr fontId="2" type="noConversion"/>
  </si>
  <si>
    <t>플랫폼</t>
    <phoneticPr fontId="10" type="noConversion"/>
  </si>
  <si>
    <t>수의계약 업체명</t>
    <phoneticPr fontId="5" type="noConversion"/>
  </si>
  <si>
    <r>
      <t xml:space="preserve">단순거래사 선택시 직접입력 </t>
    </r>
    <r>
      <rPr>
        <sz val="10"/>
        <rFont val="맑은 고딕"/>
        <family val="3"/>
        <charset val="129"/>
      </rPr>
      <t>▶</t>
    </r>
    <phoneticPr fontId="10" type="noConversion"/>
  </si>
  <si>
    <t>경영_영업</t>
    <phoneticPr fontId="10" type="noConversion"/>
  </si>
  <si>
    <t>뉴아이텍</t>
    <phoneticPr fontId="2" type="noConversion"/>
  </si>
  <si>
    <t>나우드림</t>
    <phoneticPr fontId="2" type="noConversion"/>
  </si>
  <si>
    <t>수의계약 사업자번호</t>
    <phoneticPr fontId="10" type="noConversion"/>
  </si>
  <si>
    <t>웹_앱</t>
    <phoneticPr fontId="10" type="noConversion"/>
  </si>
  <si>
    <t xml:space="preserve">더디엔에이 </t>
    <phoneticPr fontId="2" type="noConversion"/>
  </si>
  <si>
    <t>수의계약 사유</t>
    <phoneticPr fontId="5" type="noConversion"/>
  </si>
  <si>
    <t>단말</t>
    <phoneticPr fontId="10" type="noConversion"/>
  </si>
  <si>
    <t>리그시스템</t>
    <phoneticPr fontId="2" type="noConversion"/>
  </si>
  <si>
    <t>넥스브레인</t>
    <phoneticPr fontId="28" type="noConversion"/>
  </si>
  <si>
    <t>신규개발/ 고도화개발 여부</t>
    <phoneticPr fontId="5" type="noConversion"/>
  </si>
  <si>
    <t>비용산정 기준으로 Man Moth방식을 적용한 경우, FP기준 비용과 Gap 조정</t>
    <phoneticPr fontId="10" type="noConversion"/>
  </si>
  <si>
    <t>조정 사유</t>
    <phoneticPr fontId="10" type="noConversion"/>
  </si>
  <si>
    <t>비에이치컨설팅</t>
    <phoneticPr fontId="2" type="noConversion"/>
  </si>
  <si>
    <t>솔루션</t>
    <phoneticPr fontId="10" type="noConversion"/>
  </si>
  <si>
    <t>쌍용정보통신</t>
    <phoneticPr fontId="2" type="noConversion"/>
  </si>
  <si>
    <t>로코모</t>
    <phoneticPr fontId="2" type="noConversion"/>
  </si>
  <si>
    <t>써티웨어</t>
    <phoneticPr fontId="2" type="noConversion"/>
  </si>
  <si>
    <t>유누스</t>
  </si>
  <si>
    <t>아메바</t>
    <phoneticPr fontId="2" type="noConversion"/>
  </si>
  <si>
    <t>비즈이십오시</t>
    <phoneticPr fontId="2" type="noConversion"/>
  </si>
  <si>
    <t>KT 개발전문 자회사 참여여부</t>
    <phoneticPr fontId="5" type="noConversion"/>
  </si>
  <si>
    <t>◀   KT의 전문 개발자회사 참여여부-대상: KTDS,KTH</t>
    <phoneticPr fontId="5" type="noConversion"/>
  </si>
  <si>
    <t/>
  </si>
  <si>
    <t>아이스프린트컨설팅</t>
    <phoneticPr fontId="2" type="noConversion"/>
  </si>
  <si>
    <t>지어소프트</t>
    <phoneticPr fontId="2" type="noConversion"/>
  </si>
  <si>
    <t xml:space="preserve"> KT내재화율 적용여부 체크</t>
    <phoneticPr fontId="5" type="noConversion"/>
  </si>
  <si>
    <t>카피앤패이스트</t>
    <phoneticPr fontId="2" type="noConversion"/>
  </si>
  <si>
    <t>▶  KT인력 참여율 : 분석</t>
    <phoneticPr fontId="10" type="noConversion"/>
  </si>
  <si>
    <t>에스큐아이소프트</t>
    <phoneticPr fontId="2" type="noConversion"/>
  </si>
  <si>
    <t>에이펙스아이티</t>
    <phoneticPr fontId="2" type="noConversion"/>
  </si>
  <si>
    <t>▶  KT인력 참여율 : 설계</t>
    <phoneticPr fontId="10" type="noConversion"/>
  </si>
  <si>
    <t>분홍셀 개발예산에 반영되는 값으로 정확히 입력 필요</t>
    <phoneticPr fontId="10" type="noConversion"/>
  </si>
  <si>
    <t>에이앤티솔루션</t>
    <phoneticPr fontId="2" type="noConversion"/>
  </si>
  <si>
    <t>한솔인티큐브</t>
    <phoneticPr fontId="2" type="noConversion"/>
  </si>
  <si>
    <t>▶  KT인력 참여율 : 구현</t>
    <phoneticPr fontId="10" type="noConversion"/>
  </si>
  <si>
    <t>필수항목 미입력시 IT투자심의 진행불가</t>
    <phoneticPr fontId="10" type="noConversion"/>
  </si>
  <si>
    <t>코어플러스</t>
    <phoneticPr fontId="2" type="noConversion"/>
  </si>
  <si>
    <t>▶  KT인력 참여율 : 시험</t>
    <phoneticPr fontId="10" type="noConversion"/>
  </si>
  <si>
    <t>텔레씽크</t>
    <phoneticPr fontId="2" type="noConversion"/>
  </si>
  <si>
    <t>엔비웨어</t>
    <phoneticPr fontId="2" type="noConversion"/>
  </si>
  <si>
    <t>오픈에스앤에스</t>
  </si>
  <si>
    <t>커머스웨어</t>
    <phoneticPr fontId="2" type="noConversion"/>
  </si>
  <si>
    <t>1. 개발/개선 어플리케이션 기능점수(Function Point) 산정</t>
    <phoneticPr fontId="5" type="noConversion"/>
  </si>
  <si>
    <t>등록
(EI)</t>
    <phoneticPr fontId="5" type="noConversion"/>
  </si>
  <si>
    <t>수정
(EI)</t>
    <phoneticPr fontId="5" type="noConversion"/>
  </si>
  <si>
    <t>삭제
(EI)</t>
    <phoneticPr fontId="5" type="noConversion"/>
  </si>
  <si>
    <t>외부
출력
(EO)</t>
    <phoneticPr fontId="5" type="noConversion"/>
  </si>
  <si>
    <t>외부
조회
(EQ)</t>
    <phoneticPr fontId="5" type="noConversion"/>
  </si>
  <si>
    <t>내부
논리
파일
(ILF)</t>
    <phoneticPr fontId="5" type="noConversion"/>
  </si>
  <si>
    <t>외부
연계
파일
(EIF)</t>
    <phoneticPr fontId="5" type="noConversion"/>
  </si>
  <si>
    <t>개발
유형
난이도</t>
    <phoneticPr fontId="5" type="noConversion"/>
  </si>
  <si>
    <t>변경단위별 비중</t>
    <phoneticPr fontId="5" type="noConversion"/>
  </si>
  <si>
    <t>신규 ▶</t>
    <phoneticPr fontId="5" type="noConversion"/>
  </si>
  <si>
    <t>점수
합계</t>
    <phoneticPr fontId="5" type="noConversion"/>
  </si>
  <si>
    <t>소변경 ▶</t>
    <phoneticPr fontId="5" type="noConversion"/>
  </si>
  <si>
    <t>중변경 ▶</t>
    <phoneticPr fontId="5" type="noConversion"/>
  </si>
  <si>
    <t>대변경 ▶</t>
    <phoneticPr fontId="5" type="noConversion"/>
  </si>
  <si>
    <t>합계 ▶</t>
    <phoneticPr fontId="5" type="noConversion"/>
  </si>
  <si>
    <t>◀ 오류발생시 E열,M열 확인</t>
    <phoneticPr fontId="5" type="noConversion"/>
  </si>
  <si>
    <t>변경비</t>
    <phoneticPr fontId="5" type="noConversion"/>
  </si>
  <si>
    <t>기능점수 합계</t>
    <phoneticPr fontId="5" type="noConversion"/>
  </si>
  <si>
    <t>입력</t>
    <phoneticPr fontId="5" type="noConversion"/>
  </si>
  <si>
    <t>가능값</t>
    <phoneticPr fontId="5" type="noConversion"/>
  </si>
  <si>
    <t>업무용(없음)</t>
    <phoneticPr fontId="5" type="noConversion"/>
  </si>
  <si>
    <t>과학용(소연동)</t>
    <phoneticPr fontId="5" type="noConversion"/>
  </si>
  <si>
    <t>멀티미디어(중연동)</t>
    <phoneticPr fontId="5" type="noConversion"/>
  </si>
  <si>
    <t>지능용(대연동)</t>
    <phoneticPr fontId="5" type="noConversion"/>
  </si>
  <si>
    <t>제어용(극대)</t>
    <phoneticPr fontId="5" type="noConversion"/>
  </si>
  <si>
    <t xml:space="preserve"> </t>
    <phoneticPr fontId="5" type="noConversion"/>
  </si>
  <si>
    <t>기능
레벨
1</t>
    <phoneticPr fontId="5" type="noConversion"/>
  </si>
  <si>
    <t>기능
레벨
2</t>
    <phoneticPr fontId="5" type="noConversion"/>
  </si>
  <si>
    <t>기능설명</t>
    <phoneticPr fontId="5" type="noConversion"/>
  </si>
  <si>
    <t>외부입력(EI)</t>
  </si>
  <si>
    <t>기능
점수
(합)</t>
    <phoneticPr fontId="5" type="noConversion"/>
  </si>
  <si>
    <t>연계(연동)복잡성</t>
    <phoneticPr fontId="5" type="noConversion"/>
  </si>
  <si>
    <t>등록</t>
    <phoneticPr fontId="5" type="noConversion"/>
  </si>
  <si>
    <t>수정</t>
  </si>
  <si>
    <t>삭제</t>
  </si>
  <si>
    <t>이름</t>
    <phoneticPr fontId="5" type="noConversion"/>
  </si>
  <si>
    <t>트랜잭션 기능</t>
    <phoneticPr fontId="5" type="noConversion"/>
  </si>
  <si>
    <t>데이타기능</t>
    <phoneticPr fontId="5" type="noConversion"/>
  </si>
  <si>
    <t>FP기능점수 등록방법</t>
  </si>
  <si>
    <r>
      <t xml:space="preserve">(잘못된 예시) </t>
    </r>
    <r>
      <rPr>
        <b/>
        <sz val="10"/>
        <color theme="0" tint="-4.9989318521683403E-2"/>
        <rFont val="맑은 고딕"/>
        <family val="3"/>
        <charset val="129"/>
      </rPr>
      <t>▶</t>
    </r>
    <phoneticPr fontId="5" type="noConversion"/>
  </si>
  <si>
    <r>
      <t xml:space="preserve">입력 쉘값 '1' 값 이상 입력불가 </t>
    </r>
    <r>
      <rPr>
        <sz val="10"/>
        <color rgb="FFFF0000"/>
        <rFont val="맑은 고딕"/>
        <family val="3"/>
        <charset val="129"/>
      </rPr>
      <t>▶</t>
    </r>
    <phoneticPr fontId="5" type="noConversion"/>
  </si>
  <si>
    <t>신규</t>
  </si>
  <si>
    <t>1</t>
    <phoneticPr fontId="5" type="noConversion"/>
  </si>
  <si>
    <t>4</t>
    <phoneticPr fontId="5" type="noConversion"/>
  </si>
  <si>
    <t>중(1~5연계)</t>
    <phoneticPr fontId="5" type="noConversion"/>
  </si>
  <si>
    <t>ILF 이면서 EIF 동시 입력불가 ▶</t>
    <phoneticPr fontId="5" type="noConversion"/>
  </si>
  <si>
    <r>
      <t xml:space="preserve">연계(연동) 복잡성 </t>
    </r>
    <r>
      <rPr>
        <b/>
        <sz val="10"/>
        <color theme="0" tint="-4.9989318521683403E-2"/>
        <rFont val="맑은 고딕"/>
        <family val="3"/>
        <charset val="129"/>
      </rPr>
      <t>▶</t>
    </r>
    <phoneticPr fontId="5" type="noConversion"/>
  </si>
  <si>
    <r>
      <rPr>
        <b/>
        <sz val="10"/>
        <rFont val="맑은 고딕"/>
        <family val="3"/>
        <charset val="129"/>
      </rPr>
      <t>▶없음:</t>
    </r>
    <r>
      <rPr>
        <sz val="10"/>
        <rFont val="맑은 고딕"/>
        <family val="3"/>
        <charset val="129"/>
      </rPr>
      <t xml:space="preserve"> 타기관 연계 없음</t>
    </r>
    <phoneticPr fontId="5" type="noConversion"/>
  </si>
  <si>
    <r>
      <t>▶중(1~5연계):</t>
    </r>
    <r>
      <rPr>
        <sz val="9"/>
        <rFont val="굴림체"/>
        <family val="3"/>
        <charset val="129"/>
      </rPr>
      <t>1~5개의 타 기관 연계</t>
    </r>
    <phoneticPr fontId="5" type="noConversion"/>
  </si>
  <si>
    <r>
      <rPr>
        <b/>
        <sz val="9"/>
        <rFont val="굴림체"/>
        <family val="3"/>
        <charset val="129"/>
      </rPr>
      <t>▶상(6개 이상 연계):</t>
    </r>
    <r>
      <rPr>
        <sz val="9"/>
        <rFont val="굴림체"/>
        <family val="3"/>
        <charset val="129"/>
      </rPr>
      <t>6개 이상의 타 기관 연계</t>
    </r>
    <phoneticPr fontId="5" type="noConversion"/>
  </si>
  <si>
    <r>
      <t xml:space="preserve">▶ 행추가 필요시 25행 이하의 행에서 행추가 사용하세요. </t>
    </r>
    <r>
      <rPr>
        <b/>
        <sz val="10"/>
        <color rgb="FFFFFF00"/>
        <rFont val="맑은 고딕"/>
        <family val="3"/>
        <charset val="129"/>
      </rPr>
      <t>모든 셀에 잘라내기 기능은 사용하지 마세요. (계산오류 발생함)</t>
    </r>
    <phoneticPr fontId="5" type="noConversion"/>
  </si>
  <si>
    <t>기능레벨1</t>
    <phoneticPr fontId="5" type="noConversion"/>
  </si>
  <si>
    <t>기능레벨2</t>
    <phoneticPr fontId="5" type="noConversion"/>
  </si>
  <si>
    <t>주의-해당 셀 빈 셀일 경우 기능점수 계산안됨 ▶</t>
    <phoneticPr fontId="5" type="noConversion"/>
  </si>
  <si>
    <t>계산식 포함된 셀(행추가시 이전셀 복사하여 사용) ▶</t>
    <phoneticPr fontId="5" type="noConversion"/>
  </si>
  <si>
    <t>=IF($E24="신규",($F24+$G24+$H24)*4+($I24*5.2)+($J24*3.9)+($K24*7.5)+($L24*5.4),(($F24+$G24+$H24)*4+($I24*5.2)+($J24*3.9)+($K24*7.5)+($L24*5.4))*$H$6)</t>
    <phoneticPr fontId="5" type="noConversion"/>
  </si>
  <si>
    <t>개발유형(난이도) 선택</t>
    <phoneticPr fontId="5" type="noConversion"/>
  </si>
  <si>
    <t>카터고리 구분시 복사사용</t>
    <phoneticPr fontId="5" type="noConversion"/>
  </si>
  <si>
    <t>카터고리 구분시 복사사용 가능</t>
    <phoneticPr fontId="5" type="noConversion"/>
  </si>
  <si>
    <t>수정</t>
    <phoneticPr fontId="5" type="noConversion"/>
  </si>
  <si>
    <t>삭제</t>
    <phoneticPr fontId="5" type="noConversion"/>
  </si>
  <si>
    <t>외부
출력</t>
    <phoneticPr fontId="5" type="noConversion"/>
  </si>
  <si>
    <t>외부
조회</t>
    <phoneticPr fontId="5" type="noConversion"/>
  </si>
  <si>
    <t>EI,EO,EQ 
정의</t>
    <phoneticPr fontId="5" type="noConversion"/>
  </si>
  <si>
    <t>기능
점수</t>
    <phoneticPr fontId="5" type="noConversion"/>
  </si>
  <si>
    <r>
      <rPr>
        <sz val="9"/>
        <color rgb="FF00FFFF"/>
        <rFont val="돋움"/>
        <family val="3"/>
        <charset val="129"/>
      </rPr>
      <t xml:space="preserve">
입력,수정,삭제</t>
    </r>
    <r>
      <rPr>
        <sz val="9"/>
        <color theme="0"/>
        <rFont val="돋움"/>
        <family val="3"/>
        <charset val="129"/>
      </rPr>
      <t xml:space="preserve"> : 하나 이상의 ILF를 유지하거나 시스템의 동작을 변경하는 트랜잭션
</t>
    </r>
    <r>
      <rPr>
        <sz val="9"/>
        <color rgb="FF00FFFF"/>
        <rFont val="돋움"/>
        <family val="3"/>
        <charset val="129"/>
      </rPr>
      <t xml:space="preserve">외부출력 </t>
    </r>
    <r>
      <rPr>
        <sz val="9"/>
        <color theme="0"/>
        <rFont val="돋움"/>
        <family val="3"/>
        <charset val="129"/>
      </rPr>
      <t xml:space="preserve">: 
데이터나 제어 정보의 검색은 물론 처리 로직을 통해 사용자에게 정보를 제공하는 트랜잭션
</t>
    </r>
    <r>
      <rPr>
        <sz val="9"/>
        <color rgb="FF00FFFF"/>
        <rFont val="돋움"/>
        <family val="3"/>
        <charset val="129"/>
      </rPr>
      <t xml:space="preserve">외부조회 </t>
    </r>
    <r>
      <rPr>
        <sz val="9"/>
        <color theme="0"/>
        <rFont val="돋움"/>
        <family val="3"/>
        <charset val="129"/>
      </rPr>
      <t>: 
ILF나 EIF로부터 데이터나 제어 정보를 검색하여 사용자에게 정보를 제공하는 트랜잭션</t>
    </r>
    <phoneticPr fontId="5" type="noConversion"/>
  </si>
  <si>
    <t>업무처리용</t>
  </si>
  <si>
    <t>중변경</t>
  </si>
  <si>
    <t>업무용(없음)</t>
  </si>
  <si>
    <t>변경</t>
  </si>
  <si>
    <t>데이터 기능</t>
    <phoneticPr fontId="5" type="noConversion"/>
  </si>
  <si>
    <t>ILF , EIF 정의</t>
    <phoneticPr fontId="5" type="noConversion"/>
  </si>
  <si>
    <t>ILF</t>
    <phoneticPr fontId="5" type="noConversion"/>
  </si>
  <si>
    <t>EIF</t>
    <phoneticPr fontId="5" type="noConversion"/>
  </si>
  <si>
    <t>기능점수</t>
    <phoneticPr fontId="5" type="noConversion"/>
  </si>
  <si>
    <r>
      <t xml:space="preserve">
</t>
    </r>
    <r>
      <rPr>
        <sz val="9"/>
        <color rgb="FF00FFFF"/>
        <rFont val="맑은 고딕"/>
        <family val="3"/>
        <charset val="129"/>
      </rPr>
      <t>▶</t>
    </r>
    <r>
      <rPr>
        <sz val="9"/>
        <color rgb="FF00FFFF"/>
        <rFont val="돋움"/>
        <family val="3"/>
        <charset val="129"/>
      </rPr>
      <t xml:space="preserve"> 내부논리파일 (ILF) : </t>
    </r>
    <r>
      <rPr>
        <sz val="9"/>
        <color theme="0"/>
        <rFont val="돋움"/>
        <family val="3"/>
        <charset val="129"/>
      </rPr>
      <t xml:space="preserve">
개발하려는 시스템 내에서 유지되는(입력,수정,삭제,업데이트) 논리적 데이터 그룹
</t>
    </r>
    <r>
      <rPr>
        <sz val="9"/>
        <color rgb="FF00FFFF"/>
        <rFont val="돋움"/>
        <family val="3"/>
        <charset val="129"/>
      </rPr>
      <t>▶ 외부연계파일 (EIF) :</t>
    </r>
    <r>
      <rPr>
        <sz val="9"/>
        <color theme="0"/>
        <rFont val="돋움"/>
        <family val="3"/>
        <charset val="129"/>
      </rPr>
      <t xml:space="preserve">
외부의 특정 시스템에서 유지되고(입력,수정,삭제,업데이트) 개발하려는 시스템에 참조하는 논리적 데이터 그룹</t>
    </r>
    <phoneticPr fontId="5" type="noConversion"/>
  </si>
  <si>
    <t>총계</t>
  </si>
  <si>
    <t>트랜잭션 기능</t>
  </si>
  <si>
    <t>계</t>
  </si>
  <si>
    <t>등록</t>
  </si>
  <si>
    <t>분석</t>
  </si>
  <si>
    <t>설계</t>
  </si>
  <si>
    <t>구현</t>
  </si>
  <si>
    <t>시험</t>
  </si>
  <si>
    <t>단계별 단가</t>
  </si>
  <si>
    <t>현 쉬트는 작성 불필요
산정결과를 확인하는 쉬트입니다.</t>
  </si>
  <si>
    <t>1. 기능수(Function Count):</t>
  </si>
  <si>
    <t>소계</t>
  </si>
  <si>
    <t>데이터기능</t>
  </si>
  <si>
    <t>트랜잭션
기능</t>
  </si>
  <si>
    <t>데이터
기능</t>
  </si>
  <si>
    <t>EI</t>
  </si>
  <si>
    <t>EO</t>
  </si>
  <si>
    <t>EQ</t>
  </si>
  <si>
    <t>ILF</t>
  </si>
  <si>
    <t>EIF</t>
  </si>
  <si>
    <t>소변경</t>
  </si>
  <si>
    <t>대변경</t>
  </si>
  <si>
    <t>2. 기능점수 :</t>
  </si>
  <si>
    <t>평균 FP</t>
  </si>
  <si>
    <t>기능점수</t>
  </si>
  <si>
    <t>변경비율</t>
  </si>
  <si>
    <t>3. 기능점수(Function Point):</t>
  </si>
  <si>
    <t>변경율(%)</t>
  </si>
  <si>
    <t>[변경율 산정을 위한 보정전 변경율 : 데이터 기능 , 트랜잭션 기능의 변경비율 계산]</t>
  </si>
  <si>
    <t>3. 보정전 개발원가 : 기능점수 * 단계별 기능점수당 단가</t>
  </si>
  <si>
    <t>기능점수(Function Point)</t>
  </si>
  <si>
    <t>KT 내재화율 적용</t>
  </si>
  <si>
    <t>개발사 수행율</t>
  </si>
  <si>
    <t>4. 개발원가 : 보정전 개발원가 * 보정계수(규모, 어플리케이션유형, 언어, 품질 및 특성)</t>
  </si>
  <si>
    <t>적용값</t>
  </si>
  <si>
    <t>보정전 
개발원가</t>
  </si>
  <si>
    <t>총액</t>
  </si>
  <si>
    <t xml:space="preserve"> KT 내재화</t>
  </si>
  <si>
    <t>협력사수행비용</t>
  </si>
  <si>
    <t>기본값</t>
  </si>
  <si>
    <t>규모</t>
  </si>
  <si>
    <t>보정계수</t>
  </si>
  <si>
    <t>연계 복잡성 수준</t>
  </si>
  <si>
    <t>성능 요구 수준</t>
  </si>
  <si>
    <t>다중 사이트 운영성</t>
  </si>
  <si>
    <t>보안성 수준</t>
  </si>
  <si>
    <t>합계</t>
  </si>
  <si>
    <t>KT내재화 적용전</t>
  </si>
  <si>
    <t>KT내재화 금액</t>
  </si>
  <si>
    <t>현사업계수</t>
  </si>
  <si>
    <t>사업부서 작성값</t>
  </si>
  <si>
    <t>4. S/W 개발비 : 개발원가 + 이윤 + 부가세</t>
  </si>
  <si>
    <t>금액 (원)</t>
  </si>
  <si>
    <t>설  명</t>
  </si>
  <si>
    <t>개발원가(평균 보정계수)</t>
  </si>
  <si>
    <t>이윤적용율</t>
  </si>
  <si>
    <t>◀ 이윤적용률(자동반영)</t>
  </si>
  <si>
    <t>개발비 총계(평균 보정계수)</t>
  </si>
  <si>
    <t>◀ 일반적인 사업 개발 예상금액</t>
  </si>
  <si>
    <t>◀ 부가세 포함금액</t>
  </si>
  <si>
    <t xml:space="preserve">개발원가 </t>
  </si>
  <si>
    <t>◀ 기능점수로 정의된 개발비 (이윤미포함)</t>
  </si>
  <si>
    <t>개발원가(이윤포함)</t>
  </si>
  <si>
    <t>◀ 이윤포함</t>
  </si>
  <si>
    <t>FP외 투입인력(MM)</t>
  </si>
  <si>
    <t>FP외 투입인력(MM) 금액</t>
  </si>
  <si>
    <t>직접경비</t>
  </si>
  <si>
    <t xml:space="preserve">   확정 개발비용 총액</t>
  </si>
  <si>
    <t>◀ 부가세 미포함 금액 
 ◀ 개발원가+FP외 산정불가 MM+직접경비</t>
  </si>
  <si>
    <t>IT투자심의 (확정 개발비)</t>
  </si>
  <si>
    <t>정보보호컨설턴트</t>
  </si>
  <si>
    <t>투입기술자 직무</t>
    <phoneticPr fontId="2" type="noConversion"/>
  </si>
  <si>
    <t>IT컨설팅</t>
    <phoneticPr fontId="2" type="noConversion"/>
  </si>
  <si>
    <t>IT컨설팅</t>
    <phoneticPr fontId="2" type="noConversion"/>
  </si>
  <si>
    <t>IT프로젝트관리</t>
    <phoneticPr fontId="2" type="noConversion"/>
  </si>
  <si>
    <t>IT아키텍처</t>
    <phoneticPr fontId="2" type="noConversion"/>
  </si>
  <si>
    <t>SW개발</t>
    <phoneticPr fontId="2" type="noConversion"/>
  </si>
  <si>
    <t>SW개발</t>
    <phoneticPr fontId="2" type="noConversion"/>
  </si>
  <si>
    <t>DB관리</t>
    <phoneticPr fontId="2" type="noConversion"/>
  </si>
  <si>
    <t>시스템 구축 및 운영</t>
    <phoneticPr fontId="2" type="noConversion"/>
  </si>
  <si>
    <r>
      <t>조직의 비전과 목표, 구조, 정책 등의 이해를 바탕으로 업무 요구사항을 도출하고 분석</t>
    </r>
    <r>
      <rPr>
        <vertAlign val="superscript"/>
        <sz val="10"/>
        <color rgb="FF000000"/>
        <rFont val="맑은 고딕"/>
        <family val="3"/>
        <charset val="129"/>
        <scheme val="minor"/>
      </rPr>
      <t>*</t>
    </r>
    <r>
      <rPr>
        <sz val="10"/>
        <color rgb="FF000000"/>
        <rFont val="맑은 고딕"/>
        <family val="3"/>
        <charset val="129"/>
        <scheme val="minor"/>
      </rPr>
      <t>하여, 목적에 부합하는 대응전략 수립하는 자이다.
* 타 직무에서 수행하는 분석, 설계 업무의 혼선 방지를 위해 아래의 주석을 표시함
 1) 분석 : 조직 내·외부의 경영 환경에 영향을 주는 고객과 경쟁기업, 산업동향,             
            내부 역량을 분석하는 능력</t>
    </r>
    <phoneticPr fontId="2" type="noConversion"/>
  </si>
  <si>
    <t xml:space="preserve">UI/UX 디자인의 매체별 트렌드, 사용자 경험 분석을 통해 디자인 전략 및 콘셉트를 도출하고 UI 디자인 요소를 다양한 기법을 활용해 시각화하여 사용자 요구를 검증하고   매체별 최적화된 디자인과 사용성을 제공하는 자이다. </t>
    <phoneticPr fontId="2" type="noConversion"/>
  </si>
  <si>
    <r>
      <t>컴퓨터 프로그래밍 언어로 응용소프트웨어의 분석</t>
    </r>
    <r>
      <rPr>
        <vertAlign val="superscript"/>
        <sz val="10"/>
        <color rgb="FF000000"/>
        <rFont val="맑은 고딕"/>
        <family val="3"/>
        <charset val="129"/>
        <scheme val="minor"/>
      </rPr>
      <t>*</t>
    </r>
    <r>
      <rPr>
        <sz val="10"/>
        <color rgb="FF000000"/>
        <rFont val="맑은 고딕"/>
        <family val="3"/>
        <charset val="129"/>
        <scheme val="minor"/>
      </rPr>
      <t>, 설계</t>
    </r>
    <r>
      <rPr>
        <vertAlign val="superscript"/>
        <sz val="10"/>
        <color rgb="FF000000"/>
        <rFont val="맑은 고딕"/>
        <family val="3"/>
        <charset val="129"/>
        <scheme val="minor"/>
      </rPr>
      <t>*</t>
    </r>
    <r>
      <rPr>
        <sz val="10"/>
        <color rgb="FF000000"/>
        <rFont val="맑은 고딕"/>
        <family val="3"/>
        <charset val="129"/>
        <scheme val="minor"/>
      </rPr>
      <t>, 구현 및 테스트, 배포 등을
통해 제품의 기능을 개발하고 개선하는 자이다.
* 타 직무에서 수행하는 분석, 설계 업무의 혼선 방지를 위해 아래의 주석을 표시함
 1) 분석 : 구현하고자 하는 애플리케이션의 요구사항을 도출, 분석, 명세화 및 요구사항  
            검증을 수행하는 능력
 2) 설계 : 요구사항 확인을 통한 상세분석 결과, SW아키텍쳐 가이드라인 및 
            SW 아키텍처 산출물에 의거하여 이에 따른 애플리케이션 구현을 수행하기 
            위해 공통 모듈 설계, 타 시스템 연동에 대하여 상세 설계하는 능력</t>
    </r>
    <phoneticPr fontId="2" type="noConversion"/>
  </si>
  <si>
    <t xml:space="preserve"> 투입공수 예상규모(MM)</t>
    <phoneticPr fontId="2" type="noConversion"/>
  </si>
  <si>
    <t>&lt; 실제 수행과업별 투입 기술자 직무 및 공수에 따라 
  변동 가능</t>
    <phoneticPr fontId="2" type="noConversion"/>
  </si>
  <si>
    <t xml:space="preserve">총괄PM
 - 사업총괄
 - 보고, 사업진도, 진척도관리, 이슈/리스크 관리
 - 품질관리, 산출물관리, 인력관리
</t>
    <phoneticPr fontId="2" type="noConversion"/>
  </si>
  <si>
    <t>기획
  - 기획/디자인 총괄 관리
  - XXX 관리자 사이트 개선 기획
  - 정회원 종료 안내 및 회원가입 화면 기획
  - 상세매뉴(18개), 메뉴 현행화 상세 구성(15개)</t>
    <phoneticPr fontId="5" type="noConversion"/>
  </si>
  <si>
    <t>퍼블리셔
  - 메인 및 상세 페이지 코딩
  - 퍼블리싱 및 테스트 검수(기획 검수)
  - 디버깅</t>
    <phoneticPr fontId="5" type="noConversion"/>
  </si>
  <si>
    <t xml:space="preserve">분석설계 구현
 - XX 서비스현황(22본) 화면 개선
 - 메인(4본) 화면 개선
 - 기타(87본) 화면 개선
</t>
    <phoneticPr fontId="5" type="noConversion"/>
  </si>
  <si>
    <t>PP관리 및 입력
  - 과업1
  - 과업2</t>
    <phoneticPr fontId="5" type="noConversion"/>
  </si>
  <si>
    <t>데이터 입력
  - 과업1
  - 과업2</t>
    <phoneticPr fontId="5" type="noConversion"/>
  </si>
  <si>
    <t>개발 코디네이션
  - 과업 1
  - 과업 2
  - 과업 3</t>
    <phoneticPr fontId="2" type="noConversion"/>
  </si>
  <si>
    <t>디자이너
  - 메인 및 상세 페이지 디자인
  - 콘텐츠 이미지 수정</t>
    <phoneticPr fontId="5" type="noConversion"/>
  </si>
  <si>
    <t>PP관리 및 입력
  - 과업1
  - 과업2
  - 과업3</t>
    <phoneticPr fontId="5" type="noConversion"/>
  </si>
  <si>
    <t>분석설계 구현
 - XX 서비스현황(22본) 플렛폼 개선
 - 메인(4본) 플랫폼 개선
 - 기타(87본) 플랫폼 개선</t>
    <phoneticPr fontId="2" type="noConversion"/>
  </si>
  <si>
    <t>ㅇ IT투자심의 규모적정성 검토(IT투자심의 담당자 검토용)</t>
    <phoneticPr fontId="10" type="noConversion"/>
  </si>
  <si>
    <t>항목값</t>
    <phoneticPr fontId="10" type="noConversion"/>
  </si>
  <si>
    <t>총 FP기능점수</t>
    <phoneticPr fontId="10" type="noConversion"/>
  </si>
  <si>
    <t xml:space="preserve">  1. 규모 보정계수</t>
    <phoneticPr fontId="10" type="noConversion"/>
  </si>
  <si>
    <t>◀ 단일 서비스개발 기준임</t>
    <phoneticPr fontId="10" type="noConversion"/>
  </si>
  <si>
    <t>규모보정계수값</t>
    <phoneticPr fontId="10" type="noConversion"/>
  </si>
  <si>
    <t>← 자동계산</t>
    <phoneticPr fontId="10" type="noConversion"/>
  </si>
  <si>
    <t xml:space="preserve">  2. 연계(연동) 복잡성</t>
    <phoneticPr fontId="10" type="noConversion"/>
  </si>
  <si>
    <t>개발유형</t>
    <phoneticPr fontId="10" type="noConversion"/>
  </si>
  <si>
    <r>
      <t>업무용</t>
    </r>
    <r>
      <rPr>
        <b/>
        <vertAlign val="superscript"/>
        <sz val="10"/>
        <rFont val="굴림체"/>
        <family val="3"/>
        <charset val="129"/>
      </rPr>
      <t>(없음)</t>
    </r>
    <phoneticPr fontId="10" type="noConversion"/>
  </si>
  <si>
    <r>
      <t>과학용(소연동</t>
    </r>
    <r>
      <rPr>
        <b/>
        <vertAlign val="superscript"/>
        <sz val="10"/>
        <rFont val="굴림체"/>
        <family val="3"/>
        <charset val="129"/>
      </rPr>
      <t>)</t>
    </r>
    <phoneticPr fontId="10" type="noConversion"/>
  </si>
  <si>
    <r>
      <t xml:space="preserve"> 멀티미디어</t>
    </r>
    <r>
      <rPr>
        <b/>
        <vertAlign val="superscript"/>
        <sz val="10"/>
        <rFont val="굴림체"/>
        <family val="3"/>
        <charset val="129"/>
      </rPr>
      <t>(중연동)</t>
    </r>
    <phoneticPr fontId="10" type="noConversion"/>
  </si>
  <si>
    <t>지능용(대연동)</t>
    <phoneticPr fontId="10" type="noConversion"/>
  </si>
  <si>
    <t>가중치</t>
    <phoneticPr fontId="10" type="noConversion"/>
  </si>
  <si>
    <t>산정 기능점수</t>
    <phoneticPr fontId="10" type="noConversion"/>
  </si>
  <si>
    <t>비율</t>
    <phoneticPr fontId="10" type="noConversion"/>
  </si>
  <si>
    <t>보정값</t>
    <phoneticPr fontId="10" type="noConversion"/>
  </si>
  <si>
    <t xml:space="preserve">  3. 성능요구수준</t>
    <phoneticPr fontId="10" type="noConversion"/>
  </si>
  <si>
    <t>유형</t>
    <phoneticPr fontId="10" type="noConversion"/>
  </si>
  <si>
    <t>요구없음</t>
    <phoneticPr fontId="10" type="noConversion"/>
  </si>
  <si>
    <t>필요없음</t>
    <phoneticPr fontId="10" type="noConversion"/>
  </si>
  <si>
    <t>피크치</t>
    <phoneticPr fontId="10" type="noConversion"/>
  </si>
  <si>
    <t>모든업무</t>
    <phoneticPr fontId="10" type="noConversion"/>
  </si>
  <si>
    <t>성능분석 필요</t>
    <phoneticPr fontId="10" type="noConversion"/>
  </si>
  <si>
    <t>가중치</t>
    <phoneticPr fontId="10" type="noConversion"/>
  </si>
  <si>
    <t>비율</t>
    <phoneticPr fontId="10" type="noConversion"/>
  </si>
  <si>
    <t>보정값</t>
    <phoneticPr fontId="10" type="noConversion"/>
  </si>
  <si>
    <t>← 자동계산</t>
    <phoneticPr fontId="10" type="noConversion"/>
  </si>
  <si>
    <t xml:space="preserve">  4. 다중 사이트 운영성</t>
    <phoneticPr fontId="10" type="noConversion"/>
  </si>
  <si>
    <t>보정요소</t>
    <phoneticPr fontId="10" type="noConversion"/>
  </si>
  <si>
    <t>없음</t>
    <phoneticPr fontId="10" type="noConversion"/>
  </si>
  <si>
    <t>동일</t>
    <phoneticPr fontId="10" type="noConversion"/>
  </si>
  <si>
    <t>유사</t>
    <phoneticPr fontId="10" type="noConversion"/>
  </si>
  <si>
    <t>이질적</t>
    <phoneticPr fontId="10" type="noConversion"/>
  </si>
  <si>
    <t>추가</t>
    <phoneticPr fontId="10" type="noConversion"/>
  </si>
  <si>
    <t>영향도</t>
    <phoneticPr fontId="10" type="noConversion"/>
  </si>
  <si>
    <t>중</t>
  </si>
  <si>
    <t>가중치</t>
    <phoneticPr fontId="10" type="noConversion"/>
  </si>
  <si>
    <t xml:space="preserve"> 5. 보안성 수준</t>
    <phoneticPr fontId="10" type="noConversion"/>
  </si>
  <si>
    <t>1가지</t>
    <phoneticPr fontId="10" type="noConversion"/>
  </si>
  <si>
    <t>2가지</t>
    <phoneticPr fontId="10" type="noConversion"/>
  </si>
  <si>
    <t>3가지</t>
    <phoneticPr fontId="10" type="noConversion"/>
  </si>
  <si>
    <t>4가지</t>
    <phoneticPr fontId="10" type="noConversion"/>
  </si>
  <si>
    <t>추가</t>
    <phoneticPr fontId="10" type="noConversion"/>
  </si>
  <si>
    <t>영향도</t>
    <phoneticPr fontId="10" type="noConversion"/>
  </si>
  <si>
    <t>변경율</t>
    <phoneticPr fontId="10" type="noConversion"/>
  </si>
  <si>
    <t>통합 및 시험변경율 가중치 적용</t>
    <phoneticPr fontId="10" type="noConversion"/>
  </si>
  <si>
    <t>전체레코드수</t>
    <phoneticPr fontId="10" type="noConversion"/>
  </si>
  <si>
    <t>변경레코드수</t>
    <phoneticPr fontId="10" type="noConversion"/>
  </si>
  <si>
    <t>데이터기능 설계변경율</t>
    <phoneticPr fontId="10" type="noConversion"/>
  </si>
  <si>
    <t>등급에 따른 시험변경율</t>
    <phoneticPr fontId="10" type="noConversion"/>
  </si>
  <si>
    <t>트랜잭션기능 설계변경율</t>
    <phoneticPr fontId="10" type="noConversion"/>
  </si>
  <si>
    <t>코드변경율</t>
    <phoneticPr fontId="10" type="noConversion"/>
  </si>
  <si>
    <t>uer interface 변경율</t>
    <phoneticPr fontId="10" type="noConversion"/>
  </si>
  <si>
    <t>통합 및 시험
변경율</t>
    <phoneticPr fontId="10" type="noConversion"/>
  </si>
  <si>
    <t>업무처리로직 변경율</t>
    <phoneticPr fontId="10" type="noConversion"/>
  </si>
  <si>
    <t>총 변경율</t>
    <phoneticPr fontId="10" type="noConversion"/>
  </si>
  <si>
    <t>데이터처리로직 변경율</t>
    <phoneticPr fontId="10" type="noConversion"/>
  </si>
  <si>
    <t>재개발 특성평가 적용값</t>
    <phoneticPr fontId="10" type="noConversion"/>
  </si>
  <si>
    <t>통합설계변경율</t>
    <phoneticPr fontId="10" type="noConversion"/>
  </si>
  <si>
    <t>최종 변경 적용율</t>
    <phoneticPr fontId="10" type="noConversion"/>
  </si>
  <si>
    <t>참고---SW대가산정 가이드 기준(보정계수 default)</t>
    <phoneticPr fontId="10" type="noConversion"/>
  </si>
  <si>
    <t>개발원가</t>
    <phoneticPr fontId="10" type="noConversion"/>
  </si>
  <si>
    <t>이윤율</t>
    <phoneticPr fontId="10" type="noConversion"/>
  </si>
  <si>
    <t>개발비 총계</t>
    <phoneticPr fontId="10" type="noConversion"/>
  </si>
  <si>
    <t>부가세</t>
    <phoneticPr fontId="10" type="noConversion"/>
  </si>
  <si>
    <t>개발비 총계(부가세 포함)</t>
    <phoneticPr fontId="10" type="noConversion"/>
  </si>
  <si>
    <t>사용자 기능</t>
    <phoneticPr fontId="10" type="noConversion"/>
  </si>
  <si>
    <t>관리자 기능</t>
    <phoneticPr fontId="10" type="noConversion"/>
  </si>
  <si>
    <t>dfsf</t>
    <phoneticPr fontId="2" type="noConversion"/>
  </si>
  <si>
    <t>SW아키텍트, 데이터아키텍트, Infrastructure아키텍트, 데이터베이스아키텍트</t>
  </si>
  <si>
    <t>UI/UX기획자, UI/UX개발자</t>
  </si>
  <si>
    <t>임베디드SW개발자</t>
  </si>
  <si>
    <t>데이터베이스운용자, NW엔지니어, IT시스템운용자</t>
  </si>
  <si>
    <t>SW제품기획자, IT서비스기획자, IT기술영업</t>
  </si>
  <si>
    <t>정보보호관리자, 침해사고대응전문가</t>
  </si>
  <si>
    <t>업무분석가</t>
  </si>
  <si>
    <t>IT아키텍트</t>
  </si>
  <si>
    <t>UI/UX기획/개발자</t>
  </si>
  <si>
    <t>UI/UX디자이너</t>
  </si>
  <si>
    <t>응용SW개발자</t>
  </si>
  <si>
    <t>시스템SW개발자</t>
  </si>
  <si>
    <t>정보시스템운용자</t>
  </si>
  <si>
    <t>IT지원기술자</t>
  </si>
  <si>
    <t>IT마케터</t>
  </si>
  <si>
    <t>정보보안전문가</t>
  </si>
  <si>
    <t>빅데이터개발자, 인공지능개발자</t>
  </si>
  <si>
    <t>포함직무</t>
    <phoneticPr fontId="2" type="noConversion"/>
  </si>
  <si>
    <t>20.6일</t>
    <phoneticPr fontId="2" type="noConversion"/>
  </si>
  <si>
    <t>번호</t>
  </si>
  <si>
    <t>직종</t>
  </si>
  <si>
    <t>조사용 직무</t>
  </si>
  <si>
    <t>ITSQF 직무</t>
  </si>
  <si>
    <t>조직의 경영목표를 달성하기 위하여 IT전략을 기획하고, 거버넌스, 투자성과분석, 운영 정책, R&amp;D, 프로세스, 아키텍처 등 분야 별 전략을 수립하는 일이다.</t>
  </si>
  <si>
    <t>조직의 목표를 달성하는데 도움이 될 수 있도록, 객관적인 시각에서 조직 경영 환경을 이해하고 대상 업무 및 정보시스템을 분석하여 개선 방안을 지도, 자문 및 상담을 수행하는 일이다.　</t>
  </si>
  <si>
    <t>정보보호컨설팅</t>
  </si>
  <si>
    <r>
      <t>주요 정보자산을 보호하기 위한 관리적, 물리적, 기술적 영역의 보안 요구사항과</t>
    </r>
    <r>
      <rPr>
        <sz val="10"/>
        <color rgb="FF000000"/>
        <rFont val="맑은 고딕"/>
        <family val="3"/>
        <charset val="129"/>
        <scheme val="minor"/>
      </rPr>
      <t xml:space="preserve"> </t>
    </r>
    <r>
      <rPr>
        <sz val="10"/>
        <color rgb="FF000000"/>
        <rFont val="돋움"/>
        <family val="3"/>
        <charset val="129"/>
      </rPr>
      <t xml:space="preserve">사전 정의된 프로세스에 대해 객관적인 충족여부를 검증하고 자문하는 일이다. </t>
    </r>
  </si>
  <si>
    <r>
      <t>조직의 비전과 목표, 구조, 정책 등의 이해를 바탕으로 업무 요구사항을 도출하고 분석</t>
    </r>
    <r>
      <rPr>
        <vertAlign val="superscript"/>
        <sz val="10"/>
        <color rgb="FF000000"/>
        <rFont val="돋움"/>
        <family val="3"/>
        <charset val="129"/>
      </rPr>
      <t>1)</t>
    </r>
    <r>
      <rPr>
        <sz val="10"/>
        <color rgb="FF000000"/>
        <rFont val="돋움"/>
        <family val="3"/>
        <charset val="129"/>
      </rPr>
      <t>하여, 목적에 부합하는 대응전략 수립하는 일이다.</t>
    </r>
  </si>
  <si>
    <t xml:space="preserve">업무분석가, 비즈니스분석가 </t>
  </si>
  <si>
    <t>데이터 이해 및 처리 기술에 대한 기본지식을 바탕으로 데이터 분석 기획, 데이터 분석, 데이터 시각화 업무를 수행하고 이를 통해 프로세스 혁신 및 마케팅 전략 결정 등의 과학적 의사결정을 지원하는 일이다.</t>
  </si>
  <si>
    <t>IT프로젝트관리</t>
  </si>
  <si>
    <t>IT프로젝트 인도물의 납기 준수를 위하여 프로젝트를 기획하고, 범위, 일정, 원가, 인적자원, 품질, 위험, 의사소통, 조달, 변경, 보안, 정보시스템 성과 등을 통합 관리하는 일이다.　</t>
  </si>
  <si>
    <t>-</t>
  </si>
  <si>
    <t>제외</t>
  </si>
  <si>
    <t>IT프로젝트사업</t>
  </si>
  <si>
    <t>IT아키텍처</t>
  </si>
  <si>
    <t>SW의 기능, 성능, 보안 등의 품질을 보장하고 SW를 구성하는 요소와 관계를 분석, 설계하여 전체적인 SW 구조를 체계화하는 일이다.　</t>
  </si>
  <si>
    <t>Infrastructure</t>
  </si>
  <si>
    <t>하드웨어, 미들웨어, 네트워크, 클라우드를 포함하는 인프라를 설계, 구성하여 모든 지원들의 적합성 및 신뢰성 있는 서비스를 제공할 수 있도록 체계화하는 일이다.</t>
  </si>
  <si>
    <t>데이터를 구조적 관점에서 설계, 생성, 배치, 관리하며, 다양한 데이터 엔터티뿐만 아니라 해당 데이터를 처리하는 애플리케이션에 의해 데이터가 저장, 소비, 통합 및 관리될 수 있도록 체계화하는 일이다.</t>
  </si>
  <si>
    <t>UI/UX기획</t>
  </si>
  <si>
    <t>서비스의 본질적 특성에 대한 이해를 기반으로 트렌드 분석, 사용자 이용 행태 분석 등을 통해 이해관계자 및 사용자의 요구를 발굴하고 사용성을 극대화 할 수 있는 UI/UX를 설계 및 검증하여 서비스의 목적과 용도에 맞게 최적화 된 UI를 제공하는 일이다.</t>
  </si>
  <si>
    <t>사용자의 이용형태 및 기술환경을 분석하여, 사용자 인터페이스(UI/UX)의 기획 및 아키텍처를 구축하고, 프로토타입 검증, 설계 및 구현 과정을 통해 효과적인 UI/UX를 개발하는 일이다.</t>
  </si>
  <si>
    <t>UI/UX디자인</t>
  </si>
  <si>
    <t xml:space="preserve">UI/UX 디자인의 매체별 트렌드, 사용자 경험 분석을 통해 디자인 전략 및 콘셉트를 도출하고 UI 디자인 요소를 다양한 기법을 활용해 시각화하여 사용자 요구를 검증하고 매체별 최적화된 디자인과 사용성을 제공하는 일이다. </t>
  </si>
  <si>
    <r>
      <t>컴퓨터 프로그래밍 언어로 응용소프트웨어의 분석</t>
    </r>
    <r>
      <rPr>
        <vertAlign val="superscript"/>
        <sz val="10"/>
        <color rgb="FF000000"/>
        <rFont val="돋움"/>
        <family val="3"/>
        <charset val="129"/>
      </rPr>
      <t>1)</t>
    </r>
    <r>
      <rPr>
        <sz val="10"/>
        <color rgb="FF000000"/>
        <rFont val="돋움"/>
        <family val="3"/>
        <charset val="129"/>
      </rPr>
      <t>, 설계</t>
    </r>
    <r>
      <rPr>
        <vertAlign val="superscript"/>
        <sz val="10"/>
        <color rgb="FF000000"/>
        <rFont val="돋움"/>
        <family val="3"/>
        <charset val="129"/>
      </rPr>
      <t>2)</t>
    </r>
    <r>
      <rPr>
        <sz val="10"/>
        <color rgb="FF000000"/>
        <rFont val="돋움"/>
        <family val="3"/>
        <charset val="129"/>
      </rPr>
      <t>, 구현 및 테스트, 배포 등을 통해 제품의 기능을 개발하고 개선하는 일이다.</t>
    </r>
  </si>
  <si>
    <t>SW개발</t>
  </si>
  <si>
    <t>운영체제 환경에서 시스템 자원을 제어 및 관리하는 소프트웨어와 응용프로그램의 동작을 위한 시스템 플랫폼의 요구사항 분석 및 설계, 구현, 배포를 수행하는 일이다.</t>
  </si>
  <si>
    <t>임베디드SW개발</t>
  </si>
  <si>
    <t>하드웨어 플랫폼에 대한 이해를 바탕으로 플랫폼별 운영체제 이식과 펌웨어, 디바이스 드라이버, 애플리케이션 등의 SW를 개발하고, 하드웨어 플랫폼 최적화를 수행하는 일이다.</t>
  </si>
  <si>
    <t>시스템 구축</t>
  </si>
  <si>
    <t>데이터에 대한 요구사항으로부터 데이터베이스를 설계, 구축, 전환하고, 최적의 성능과 품질을 확보하도록 추이분석 등을 통하여 데이터베이스를 수정, 개선, 백업하는 등의 업무를 수행하는 일이다.</t>
  </si>
  <si>
    <t>네트워크 환경을 분석하고 네트워크에 대한 토폴로지, 자원관리, 품질 관리를 설계하고 구성하는 일이다.</t>
  </si>
  <si>
    <t>시스템 요구사항을 분석하고 클라우드와 가상화, 시스템과 네트워크 및 스토리지 자원의 HW, SW 서비스 플랫폼을 구축, 운영, 관리하여 안정적 컴퓨팅 인프라 및 정보시스템의 운용을 담당하는 일이다.</t>
  </si>
  <si>
    <t>정보기술 인프라에 대한 이해를 바탕으로 컴퓨터 하드웨어, 스토리지, 클라우드와 가상화, 네트워크 등 IT자원을 이용한 시스템의 구성과 장애처리를 지원하며 시스템 개선 및 정기점검 등을 통해 안정적인 컴퓨팅 인프라 운영을 지원하는 일이다.</t>
  </si>
  <si>
    <t>IT마케팅</t>
  </si>
  <si>
    <t>기업의 경영전략을 바탕으로, SW 활용분야에 대한 기업 내/외부 환경, 요구 기술, 시장성 등을 분석하여 제품 전략을 수립하고, SW제품의 개발, 지원, 판매, 마케팅 계획을 수립, 운용하는 일이다.</t>
  </si>
  <si>
    <t>정보기술 환경 분석을 통해 고객과 시장의 니즈에 맞는 IT서비스를 발굴하고, 제품 및 솔루션 융합으로 새로운 서비스를 기획하는 일이다.</t>
  </si>
  <si>
    <t>정보기술 지식을 바탕으로 고객 관리 및 영업 전략을 수립, 사업기회를 창출하고 요구사항에 적합한 솔루션 제안으로 협상, 계약, 판매 및 사후 관리 등 IT 영업을 수행하는 일이다.</t>
  </si>
  <si>
    <t>IT품질목표를 달성하기 위하여 전사적인 품질정책 및 관리체계를 수립하고 품질향상을 위해 교육 및 관리활동 등을 수행하며, 프로젝트 차원에서의 품질보증 활동을 수행하는 일이다.</t>
  </si>
  <si>
    <t>테스트를 효과적으로 수행하기 위해 필요한 기획, 진단 컨설팅, 계획, 환경구축, 실행, 결함관리, 문서화를 수행하고 관리하는 일이다.</t>
  </si>
  <si>
    <t>감리발주자 및 피감리원의 이해관계로부터 독립된 자가 정보시스템의 효율성을 향상시키고 안전성을 확보하기 위하여 제2자의 관점에서 정보시스템의 기획, 구축 및 운영 등에 관한 사항을 종합적으로 점검하고 문제점이 개선 되도록 시정조치사항을 도출하고 확인 하는 일이다.</t>
  </si>
  <si>
    <t>컴퓨터 시스템의 유효성과 효율, 신뢰성, 안전성을 확보하기 위해 독립적인 입장에서 일정한 시스템 감사 기준에 의거하여 시스템을 종합적으로 점검 ·평가하고, 관계자에게 조언 및 권고하는 작업을 수행하는 일이다.</t>
  </si>
  <si>
    <t>정보보호</t>
  </si>
  <si>
    <t>조직의 비전과 미션을 수행하기 위하여 정보 자산을 안정적으로 운영하는 데 필요한 보안정책울 수립하고 관련 법제도 준수, 보호관리 활동을 수행하며, 위험관리에 기반한 정보보호 대책을 도출하여 실행토록 관리하는 일이다　</t>
  </si>
  <si>
    <t>침해사고의 피해확산 방지를 위해 위협정보를 탐지하고, 시스템 복구와 예방 전략을 수립하는 일과 업무 및 서비스에 영향을 준 증거를 확보 후 분석하여 신속하게 대응하는 일이다.</t>
  </si>
  <si>
    <t>ver.23.0.0</t>
    <phoneticPr fontId="2" type="noConversion"/>
  </si>
  <si>
    <t xml:space="preserve">   (신규서비스의 경우 IT's portal&gt;IT사업 등록&gt; MDM 연동을 통해 생성 必)</t>
    <phoneticPr fontId="10" type="noConversion"/>
  </si>
  <si>
    <t>KTDS or KTH참여</t>
    <phoneticPr fontId="2" type="noConversion"/>
  </si>
  <si>
    <t>◀   개발 기능점수(FP)로 산정 불가한 예산비용(예산규모-산정 쉬트에 합산됩니다.), SI단가임.
◀   2023년 KT평균단가 기준 3MM초과시는 별도 SW대가산정 MM양식으로 작성 필요(26 백만원)</t>
    <phoneticPr fontId="10" type="noConversion"/>
  </si>
  <si>
    <t>유관직업 예시</t>
    <phoneticPr fontId="2" type="noConversion"/>
  </si>
  <si>
    <t>IT컨설팅 및 기획</t>
    <phoneticPr fontId="2" type="noConversion"/>
  </si>
  <si>
    <t>IT기획, IT 인프라기획, IT전략</t>
    <phoneticPr fontId="5" type="noConversion"/>
  </si>
  <si>
    <t>정보기술컨설팅</t>
    <phoneticPr fontId="2" type="noConversion"/>
  </si>
  <si>
    <t>IT컨설턴트, IS컨설턴트</t>
    <phoneticPr fontId="5" type="noConversion"/>
  </si>
  <si>
    <t>정보보호컨설턴트, 보안 컨설팅, 
정보보호컨설팅 컨설턴트</t>
    <phoneticPr fontId="5" type="noConversion"/>
  </si>
  <si>
    <t>*타 직무에서 수행하는 분석, 설계 업무의 혼선 방지를 위해 아래의 주석을 표시함
1)분석 : 조직 내·외부의 경영 환경에 영향을 주는 고객과 경쟁기업, 산업동향, 내부 역량을 분석하는 능력</t>
    <phoneticPr fontId="2" type="noConversion"/>
  </si>
  <si>
    <t>데이터 기획자, 데이터최고책임자(CDO), 
Search Developer, Data Scientist(과학자),
데이터 분석 전문가, Data Analysis, 
데이터 사이언스, 데이터 분석가,
데이터분석/컨설팅, 금융 데이터 분석, 
데이터 분석 및 가공, 빅데이터 처리-분석</t>
    <phoneticPr fontId="5" type="noConversion"/>
  </si>
  <si>
    <t>IT PM, Agile Coach, 프로젝트 관리, PL, 
PM(Project Manager)</t>
    <phoneticPr fontId="5" type="noConversion"/>
  </si>
  <si>
    <t>명확한 의사결정과 방향 설정이 가능토록 지표를 제공하고 사업관리 지침 및 표준화 방안 제시, 주요이슈, 위험, 자원, 일정/문서, 범위관리를 통하여 프로젝트 수행을 지원하는 일이다.　</t>
    <phoneticPr fontId="2" type="noConversion"/>
  </si>
  <si>
    <t>-</t>
    <phoneticPr fontId="2" type="noConversion"/>
  </si>
  <si>
    <t>-</t>
    <phoneticPr fontId="2" type="noConversion"/>
  </si>
  <si>
    <t>SW 아키텍트, 솔루션 아키텍트, 
웹 아키텍트, 어플리케이션 아키텍트</t>
    <phoneticPr fontId="5" type="noConversion"/>
  </si>
  <si>
    <t>Infrastructure아키텍트, 
네트워크 아키텍트, 시스템 아키텍트, 
테크니컬 아키텍트, 클라우드 시스템 엔지니어,
퍼블릭 클라우드 아키텍트</t>
    <phoneticPr fontId="5" type="noConversion"/>
  </si>
  <si>
    <t>데이터 아키텍트, 데이터 모델러, 
데이터베이스 설계자, 데이터베이스 아키텍트, 
데이터 설계자, DW설계자, 빅데이터아키텍트, 
데이터 기술자, 데이터 전략 수립 담당자</t>
    <phoneticPr fontId="5" type="noConversion"/>
  </si>
  <si>
    <t>SW개발</t>
    <phoneticPr fontId="2" type="noConversion"/>
  </si>
  <si>
    <t>UI/UX 기획/개발자</t>
    <phoneticPr fontId="2" type="noConversion"/>
  </si>
  <si>
    <t>UI/UX 기획자, UI/UX분석가, 웹기획자, App 기획자, 모바일 앱서비스 기획자</t>
    <phoneticPr fontId="5" type="noConversion"/>
  </si>
  <si>
    <t>UI/UX 개발자, 웹퍼블리셔, 퍼블리셔&amp;프론트 개발자,
 Web&amp;Mobile 퍼블리싱, 홈페이지 웹 퍼블리싱</t>
    <phoneticPr fontId="5" type="noConversion"/>
  </si>
  <si>
    <t>UI/UX 디자이너</t>
    <phoneticPr fontId="2" type="noConversion"/>
  </si>
  <si>
    <t>UI/UX 디자이너, 웹디자이너, 그래픽디자이너, 
웹콘텐츠 디자이너, UI/UX 설계</t>
    <phoneticPr fontId="5" type="noConversion"/>
  </si>
  <si>
    <t>응용SW개발자</t>
    <phoneticPr fontId="2" type="noConversion"/>
  </si>
  <si>
    <t>응용SW 분석가, 응용SW 설계자, 모바일 개발자, 
모바일 앱 개발자, 어플리케이션 개발자, 
웹 개발자, 빅데이터 개발자, 인공지능 SW개발자, 
하둡기반 빅데이터 분석 시스템 개발,
프론트엔드 개발, 프레임워크/미들웨어/응용 SW개발, 파이썬 웹 서버 개발자, 파이썬 기반 데이터 처리, 
클라이언트 프로그래머, 클라이언트 개발,
클라우드 서비스 플랫폼 개발, 정보시스템 개발/운영, 전산시스템 개발, 인공지능 엔지니어, 
윈도우 어플리케이션 개발, 웹사이트 유지보수/개발,
웹사이트 서비스 개발, 웹 프론트 개발, 
웹 프로그램 유지보수 및 개발, 웹 백엔드 개발, 
영상통화 서버 개발, 에너지 데이터 분석 및 개발, 
안드로이드 개발자, 솔루션개발 및 구축, 솔루션 엔지니어, 솔루션 개발(웹 개발), 솔루션 개발(서버 개발),
소프트웨어 공학 엔지니어, 서비스 Server 개발, 
사업화연계연구개발자, 빅데이터 플랫폼 및 JAVA 개발, 블록체인 기반 서비스개발, 뱅킹 서비스 개발 및 운영, 백엔드 테크니컬 프로그래머, 백엔드 웹 개발, 
백엔드 시스템 개발, 백엔드 개발자,
모빌리티 플랫폼 개발, 모바일 프론트 엔드 개발, 
모바일 채널 서비스 개발 및 운영,
머신러닝 엔지니어, 메시징 솔루션 개발, 
딥러닝/컴퓨터 비전 개발,
딥러닝 응용 어플리케이션 개발, 딥러닝 연구 개발, 
딥러닝 네트워크 모델 및 자체 프레임워크 개발, 
데브옵스 개발, 금융IT 서비스 개발 및 운영, 
검색 서비스 개발, Web Developer, VR/AR 개발, 
VB 개발자, VAN서비스개발, SW 개발 및 배포,
Software Developer, SM 운영 유지보수, SDK 개발자, SAP ERP 구축/운영, Salesforce 개발, RPA 개발, REACT 개발, PYTHON 개발, PHP 웹 개발자,
PHP 백엔드 개발자, PHP 및 JAVA 개발, 
LMS웹사이트 개발(ASP, ASP.net),
Javascript Developer, JAVA/JSP 개발, 
JAVA 웹프로그래머, JAVA 웹개발자,
IoT 플랫폼 개발, JAVA 서버/프런트 개발, 
JAVA 서버/웹 개발, JAVA 개발자,
JAVA 개발 및 유지보수, JAVA WEB/Mobile 개발자, Java jsp 프론트엔드/백엔드 개발,
IOS앱 개발, IOS, Android 개발, iOS Developer, 
Front-End 개발자, Front-end Developer,
Framework 개발, ERP시스템 개발, ERP 개발 및 유지보수, DW Data Engineer,
DevOps 개발, Developer, Deep Learning R&amp;D Engineer, Data Platform Engineer,
CRM 솔루션 개발, Cloud 개발, C#/ASP.NET/MVC/JAVA 개발, C# 개발자,
Backend Developer, APP 서버개발, Android Developer, AI기반 개인화 추천 시스템 개발
AI 솔루션 연구개발, AI 딥러닝, 머신러닝 개발, 
AI 기획 및 개발, AI SW/Dataset 개발,
AI Platform Engineer, .NET, C3, ASP.NET 개발</t>
    <phoneticPr fontId="2" type="noConversion"/>
  </si>
  <si>
    <t>*타 직무에서 수행하는 분석, 설계 업무의 혼선 방지를 위해 아래의 주석을 표시함
1)분석 : 구현하고자 하는 애플리케이션의 요구사항을 도출, 분석, 명세화 및 요구사항 검증을 수행하는 능력
2)설계 : 요구사항 확인을 통한 상세분석 결과, SW아키텍쳐 가이드라인 및 SW 아키텍처 산출물에 의거하여 이에 따른 애플리케이션 구현을 수행하기 위해 공통 모듈 설계, 타 시스템 연동에 대하여 상세 설계하는 능력</t>
    <phoneticPr fontId="2" type="noConversion"/>
  </si>
  <si>
    <t>시스템SW개발자</t>
    <phoneticPr fontId="2" type="noConversion"/>
  </si>
  <si>
    <t xml:space="preserve">시스템SW개발자, 시스템SW분석가, 시스템SW설계자, OS개발자, 시스템 프로그래머 </t>
    <phoneticPr fontId="5" type="noConversion"/>
  </si>
  <si>
    <t>임베디드SW개발자, 임베디드SW분석가, 
임베디드SW설계자, 펌웨어 개발자,
임베디드 시스템 개발, HW &amp; 펌웨어 개발, STM32/PIC계열 등 관련 MCU개발,
인버터 펌웨어 개발, 시스템 제어 사양 개발, 
SW 개발(Device Driver),
Embedded OS기반 응용 SW개발, 
SoC 플랫폼 개발</t>
    <phoneticPr fontId="5" type="noConversion"/>
  </si>
  <si>
    <t>정보시스템운용자</t>
    <phoneticPr fontId="2" type="noConversion"/>
  </si>
  <si>
    <t>데이터베이스관리</t>
    <phoneticPr fontId="2" type="noConversion"/>
  </si>
  <si>
    <t>데이터베이스 운용자, MSSQL DBA, DBA, 
클라우드/DB 관리자, 데이터 엔지니어</t>
    <phoneticPr fontId="5" type="noConversion"/>
  </si>
  <si>
    <t>NW 엔지니어, NW 구축, NW시스템분석가, 
NW시스템설계자, NW시스템개발자</t>
    <phoneticPr fontId="5" type="noConversion"/>
  </si>
  <si>
    <t>IT시스템 운용자, NW운용자, 서버운용자, 
웹마스터, 웹 운용자, 정보보안관제원, IS운용자, 
빅데이터엔지니어, 서버/스토리지/시스템 운영 SA, 
미들웨어 운영 SA, 가상화 서버 운영 SA, 
시스템 관제 운영, 시스템 엔지니어, 
전산시스템 운영 및 개발, 
Linux/Windows 시스템운영, 
퍼블릭 클라우드 인프라 운영, 클라우드 보안 운영,
빅데이터 플랫폼 엔지니어, VDI 구축/운영, 
Linux 구축/운영, 인프라담당자,
System Engineering Specialist, 시스템 운영 모니터링, 인프라 운영, 미들웨어 운영, 네트워크 운영, 보안관제, 서버/스토리지 Infrastructure 관리, 네트워크 관리,
Cloud 시스템 구축/운영, IT-네트워크 운영, 
리눅스 엔지니어, 플랫폼 운영, IDC 운영/관리, 
서버 엔지니어, 리눅스 구축 및 기술개발, 
IT 인프라 관리, 시스템 유지보수, 
메일/메신저 서버 운영, 
클라우드 시스템 운영, MES 시스템 운영</t>
    <phoneticPr fontId="5" type="noConversion"/>
  </si>
  <si>
    <t>IT시스템기술지원</t>
    <phoneticPr fontId="2" type="noConversion"/>
  </si>
  <si>
    <t>기술지원 엔지니어, IT지원 기술자, 시스템 유지관리 지원기술자, IT헬프데스크 운용자</t>
    <phoneticPr fontId="5" type="noConversion"/>
  </si>
  <si>
    <t>SW제품 기획자, SW솔루션 기획자, Product Designer, Product Manager, Platform 기획</t>
    <phoneticPr fontId="5" type="noConversion"/>
  </si>
  <si>
    <t>IT서비스 기획자, 웹서비스 기획자, 모바일서비스 기획, 온라인서비스기획, 디지털서비스 기획</t>
    <phoneticPr fontId="5" type="noConversion"/>
  </si>
  <si>
    <t>IT기술영업, IT솔루션영업, 소프트웨어 영업,
의료용 디지털 솔루션 영업, 기술영업</t>
    <phoneticPr fontId="5" type="noConversion"/>
  </si>
  <si>
    <t>IT품질관리자</t>
    <phoneticPr fontId="2" type="noConversion"/>
  </si>
  <si>
    <t>IT품질관리자, 데이터품질관리자, QA(Quality Assurance), QC(Quality Control),
품질관리(QAM), 게임QA, QA Engineer, 
제품 QA, 모바일 QA,
 개발 및 라이브 QA, 백엔드 QA</t>
    <phoneticPr fontId="5" type="noConversion"/>
  </si>
  <si>
    <t xml:space="preserve">IT테스터, SW테스터, Test Case 개발, 
소프트웨어 테스트 엔지니어 </t>
    <phoneticPr fontId="2" type="noConversion"/>
  </si>
  <si>
    <t xml:space="preserve">IT감리원, IT감리사, IS감리원 </t>
    <phoneticPr fontId="2" type="noConversion"/>
  </si>
  <si>
    <t>정보보호 관리자, 정보보호 전문가, 보안관리, 
보안기술 기획, 보안관제 기획, 
보안운영, 정보보안, 정보보호</t>
    <phoneticPr fontId="2" type="noConversion"/>
  </si>
  <si>
    <t>침해사고 대응전문가, 디지털포렌식 전문가, 
모의해킹전문가, 정보보호 진단분석원,
IT security Engineer, 보안진단, CERT, 
취약점/약성코드 분석</t>
    <phoneticPr fontId="2" type="noConversion"/>
  </si>
  <si>
    <t>제어용(극대)</t>
    <phoneticPr fontId="10" type="noConversion"/>
  </si>
  <si>
    <t>◀ 화면 UI/UX 디자인 인력 등</t>
  </si>
  <si>
    <t xml:space="preserve">◀ </t>
  </si>
  <si>
    <t>S</t>
  </si>
  <si>
    <t>KT 2024년평균단가</t>
    <phoneticPr fontId="10" type="noConversion"/>
  </si>
  <si>
    <t>신규개발 사업</t>
  </si>
  <si>
    <t>신규개발</t>
  </si>
  <si>
    <t>위치 문자 서비스</t>
    <phoneticPr fontId="10" type="noConversion"/>
  </si>
  <si>
    <t>충남/충북광역본부 AX기술지원팀</t>
    <phoneticPr fontId="2" type="noConversion"/>
  </si>
  <si>
    <t>박민수</t>
    <phoneticPr fontId="10" type="noConversion"/>
  </si>
  <si>
    <t>인증/권한</t>
    <phoneticPr fontId="2" type="noConversion"/>
  </si>
  <si>
    <t>회원가입</t>
    <phoneticPr fontId="5" type="noConversion"/>
  </si>
  <si>
    <t>로그인</t>
    <phoneticPr fontId="5" type="noConversion"/>
  </si>
  <si>
    <t>로그아웃</t>
    <phoneticPr fontId="5" type="noConversion"/>
  </si>
  <si>
    <t>라우팅 가드</t>
    <phoneticPr fontId="2" type="noConversion"/>
  </si>
  <si>
    <t>고객 관리</t>
    <phoneticPr fontId="2" type="noConversion"/>
  </si>
  <si>
    <t>고객 목록/검색</t>
    <phoneticPr fontId="2" type="noConversion"/>
  </si>
  <si>
    <t>고객 생성</t>
    <phoneticPr fontId="2" type="noConversion"/>
  </si>
  <si>
    <t>고객 수정</t>
    <phoneticPr fontId="2" type="noConversion"/>
  </si>
  <si>
    <t>고객 삭제</t>
    <phoneticPr fontId="2" type="noConversion"/>
  </si>
  <si>
    <t>캠페인</t>
    <phoneticPr fontId="2" type="noConversion"/>
  </si>
  <si>
    <t>세그먼트 미리보기</t>
    <phoneticPr fontId="2" type="noConversion"/>
  </si>
  <si>
    <t>예상 비용 산정</t>
    <phoneticPr fontId="2" type="noConversion"/>
  </si>
  <si>
    <t>캠페인 발송</t>
    <phoneticPr fontId="2" type="noConversion"/>
  </si>
  <si>
    <t>전송 상태 업데이트</t>
    <phoneticPr fontId="2" type="noConversion"/>
  </si>
  <si>
    <t>열람/클릭 트래킹</t>
    <phoneticPr fontId="2" type="noConversion"/>
  </si>
  <si>
    <t>분석/통계</t>
    <phoneticPr fontId="2" type="noConversion"/>
  </si>
  <si>
    <t>캠페인 리스트</t>
  </si>
  <si>
    <t>캠페인 상세(표)</t>
    <phoneticPr fontId="2" type="noConversion"/>
  </si>
  <si>
    <t>캠페인 상세(시각화)</t>
    <phoneticPr fontId="2" type="noConversion"/>
  </si>
  <si>
    <t>수신자 분포 지도</t>
  </si>
  <si>
    <t>성별/나이/지역 분포</t>
  </si>
  <si>
    <t>과금/지갑</t>
    <phoneticPr fontId="2" type="noConversion"/>
  </si>
  <si>
    <t>포인트 충전</t>
    <phoneticPr fontId="2" type="noConversion"/>
  </si>
  <si>
    <t>발송 비용 차감</t>
    <phoneticPr fontId="2" type="noConversion"/>
  </si>
  <si>
    <t>잔액 조회</t>
    <phoneticPr fontId="2" type="noConversion"/>
  </si>
  <si>
    <t>원장 조회</t>
    <phoneticPr fontId="2" type="noConversion"/>
  </si>
  <si>
    <t>시스템·보안</t>
  </si>
  <si>
    <t>비밀번호 해시</t>
    <phoneticPr fontId="2" type="noConversion"/>
  </si>
  <si>
    <t>JWT 발급/검증</t>
    <phoneticPr fontId="2" type="noConversion"/>
  </si>
  <si>
    <t>사용자 계정</t>
    <phoneticPr fontId="2" type="noConversion"/>
  </si>
  <si>
    <t>수신 대상 고객</t>
    <phoneticPr fontId="2" type="noConversion"/>
  </si>
  <si>
    <t>캠페인 정의</t>
    <phoneticPr fontId="2" type="noConversion"/>
  </si>
  <si>
    <t>캠페인 대상 스냅샷</t>
    <phoneticPr fontId="2" type="noConversion"/>
  </si>
  <si>
    <t>지갑 거래 원장</t>
    <phoneticPr fontId="2" type="noConversion"/>
  </si>
  <si>
    <t>인앱 알림 로그</t>
    <phoneticPr fontId="2" type="noConversion"/>
  </si>
  <si>
    <t>알림/실시간</t>
    <phoneticPr fontId="2" type="noConversion"/>
  </si>
  <si>
    <t>지도/외부</t>
    <phoneticPr fontId="2" type="noConversion"/>
  </si>
  <si>
    <t>지도 타일</t>
    <phoneticPr fontId="2" type="noConversion"/>
  </si>
  <si>
    <t>과학용(소연동)</t>
  </si>
  <si>
    <t>사용자의 계정을 생성하는 기능</t>
    <phoneticPr fontId="2" type="noConversion"/>
  </si>
  <si>
    <t>자격을 검증하고 JWT로 세션을 시작하는 기능</t>
  </si>
  <si>
    <t>JWT를 무효화하여 세션을 종료하는 기능</t>
  </si>
  <si>
    <t>권한에 따라 접근 경로를 제어하는 기능</t>
  </si>
  <si>
    <t>조건으로 고객을 조회하는 기능</t>
  </si>
  <si>
    <t>고객 정보를 입력해 신규 등록하는 기능</t>
  </si>
  <si>
    <t>고객 정보를 검증해 갱신하는 기능</t>
  </si>
  <si>
    <t>참조를 확인하고 고객을 삭제하는 기능</t>
  </si>
  <si>
    <t>필터 적용 후 대상자 수를 계산해 보여주는 기능</t>
  </si>
  <si>
    <t>단가와 대상자 수로 예상 비용을 계산하는 기능</t>
  </si>
  <si>
    <t>잔여 포인트를 확인하고 발송을 시작하는 기능</t>
  </si>
  <si>
    <t>대상별 전송·열람·클릭 상태를 갱신하는 기능</t>
  </si>
  <si>
    <t>열람·클릭 이벤트를 기록하는 기능</t>
  </si>
  <si>
    <t>캠페인 요약 정보를 목록으로 보여주는 기능</t>
  </si>
  <si>
    <t>캠페인 지표를 표로 제공하는 기능</t>
  </si>
  <si>
    <t>지표를 차트로 시각화하는 기능</t>
  </si>
  <si>
    <t>수신자 위치를 지도에 표시하는 기능</t>
  </si>
  <si>
    <t>인구통계·지역 분포를 차트로 제공하는 기능</t>
  </si>
  <si>
    <t>입력 금액만큼 포인트를 충전하는 기능</t>
  </si>
  <si>
    <t>발송 시 예상 비용만큼 포인트를 차감하는 기능</t>
  </si>
  <si>
    <t>현재 포인트 잔액을 조회하는 기능</t>
  </si>
  <si>
    <t>거래 이력을 조회하는 기능</t>
  </si>
  <si>
    <t>비밀번호를 BCrypt로 해시·검증하는 기능</t>
  </si>
  <si>
    <t>JWT를 발급하고 요청 시 검증하는 기능</t>
  </si>
  <si>
    <t>사용자 계정·권한·포인트를 담는 테이블</t>
  </si>
  <si>
    <t>타게팅용 고객 기본·주소·좌표 테이블</t>
  </si>
  <si>
    <t>캠페인 메시지·필터·단가·비용 테이블</t>
  </si>
  <si>
    <t>대상 목록·전송상태·타임스탬프 테이블</t>
  </si>
  <si>
    <t>포인트 충전·차감·잔액 원장 테이블</t>
  </si>
  <si>
    <t>인앱 알림 이력·재전송 로그 테이블</t>
  </si>
  <si>
    <t>외부 지도 타일(배경 지도) 리소스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</si>
</sst>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3" formatCode="_-* #,##0.00_-;\-* #,##0.00_-;_-* &quot;-&quot;??_-;_-@_-"/>
    <numFmt numFmtId="176" formatCode="0.0%"/>
    <numFmt numFmtId="177" formatCode="0.00_ "/>
    <numFmt numFmtId="178" formatCode="0_ "/>
    <numFmt numFmtId="179" formatCode="_-* #,##0_-;\-* #,##0_-;_-* &quot;-&quot;??_-;_-@_-"/>
    <numFmt numFmtId="180" formatCode="#,##0.0_ "/>
    <numFmt numFmtId="181" formatCode="_-* #,###\ &quot;원&quot;"/>
    <numFmt numFmtId="182" formatCode="0.0_ "/>
    <numFmt numFmtId="183" formatCode="#,##0_);[Red]\(#,##0\)"/>
    <numFmt numFmtId="184" formatCode="#,##0.0\ &quot;MM&quot;"/>
    <numFmt numFmtId="185" formatCode="0.0"/>
    <numFmt numFmtId="186" formatCode="#,##0\ &quot;개&quot;"/>
    <numFmt numFmtId="187" formatCode="_-* #,###\ &quot;FP&quot;"/>
    <numFmt numFmtId="188" formatCode="_-* #,##0.0_-;\-* #,##0.0_-;_-* &quot;-&quot;_-;_-@_-"/>
    <numFmt numFmtId="189" formatCode="#,##0_ "/>
    <numFmt numFmtId="190" formatCode="_-* #,##0_-;\-* #,##0_-;_-* &quot;-&quot;?_-;_-@_-"/>
    <numFmt numFmtId="191" formatCode="#,##0\ &quot;FP&quot;"/>
    <numFmt numFmtId="192" formatCode="_-* #,##0.00000_-;\-* #,##0.00000_-;_-* &quot;-&quot;_-;_-@_-"/>
    <numFmt numFmtId="193" formatCode="0\ &quot;%&quot;"/>
    <numFmt numFmtId="194" formatCode="0.000"/>
    <numFmt numFmtId="195" formatCode="#,##0.0\ &quot;FP&quot;"/>
    <numFmt numFmtId="196" formatCode="#,##0.00\ &quot;FP&quot;"/>
    <numFmt numFmtId="197" formatCode="0.00000000"/>
    <numFmt numFmtId="198" formatCode="_-* #,###\ &quot;등급&quot;"/>
    <numFmt numFmtId="199" formatCode="0.0000"/>
    <numFmt numFmtId="200" formatCode="0.000000000000000_ "/>
  </numFmts>
  <fonts count="141"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2"/>
      <color theme="1"/>
      <name val="HY중고딕"/>
      <family val="1"/>
      <charset val="129"/>
    </font>
    <font>
      <sz val="11"/>
      <color indexed="8"/>
      <name val="맑은 고딕"/>
      <family val="3"/>
      <charset val="129"/>
    </font>
    <font>
      <sz val="8"/>
      <name val="돋움"/>
      <family val="3"/>
      <charset val="129"/>
    </font>
    <font>
      <b/>
      <u/>
      <sz val="20"/>
      <color theme="1"/>
      <name val="맑은 고딕"/>
      <family val="3"/>
      <charset val="129"/>
      <scheme val="major"/>
    </font>
    <font>
      <sz val="12"/>
      <color theme="1"/>
      <name val="맑은 고딕"/>
      <family val="3"/>
      <charset val="129"/>
      <scheme val="major"/>
    </font>
    <font>
      <sz val="10"/>
      <name val="돋움"/>
      <family val="3"/>
      <charset val="129"/>
    </font>
    <font>
      <b/>
      <sz val="10"/>
      <name val="돋움"/>
      <family val="3"/>
      <charset val="129"/>
    </font>
    <font>
      <sz val="8"/>
      <name val="바탕체"/>
      <family val="1"/>
      <charset val="129"/>
    </font>
    <font>
      <sz val="10"/>
      <name val="맑은 고딕"/>
      <family val="3"/>
      <charset val="129"/>
    </font>
    <font>
      <b/>
      <sz val="10"/>
      <color rgb="FFFF0000"/>
      <name val="돋움"/>
      <family val="3"/>
      <charset val="129"/>
    </font>
    <font>
      <sz val="10"/>
      <color theme="1"/>
      <name val="맑은 고딕"/>
      <family val="3"/>
      <charset val="129"/>
      <scheme val="major"/>
    </font>
    <font>
      <b/>
      <sz val="10"/>
      <color theme="1"/>
      <name val="맑은 고딕"/>
      <family val="3"/>
      <charset val="129"/>
      <scheme val="major"/>
    </font>
    <font>
      <sz val="10"/>
      <color theme="1"/>
      <name val="HY중고딕"/>
      <family val="1"/>
      <charset val="129"/>
    </font>
    <font>
      <sz val="10"/>
      <color theme="1"/>
      <name val="맑은 고딕"/>
      <family val="3"/>
      <charset val="129"/>
      <scheme val="minor"/>
    </font>
    <font>
      <b/>
      <sz val="10"/>
      <color rgb="FFFF0000"/>
      <name val="맑은 고딕"/>
      <family val="3"/>
      <charset val="129"/>
      <scheme val="minor"/>
    </font>
    <font>
      <b/>
      <sz val="12"/>
      <color theme="1"/>
      <name val="맑은 고딕"/>
      <family val="3"/>
      <charset val="129"/>
      <scheme val="major"/>
    </font>
    <font>
      <b/>
      <sz val="10"/>
      <color theme="1"/>
      <name val="HY중고딕"/>
      <family val="1"/>
      <charset val="129"/>
    </font>
    <font>
      <b/>
      <sz val="10"/>
      <color rgb="FFFF0000"/>
      <name val="맑은 고딕"/>
      <family val="3"/>
      <charset val="129"/>
      <scheme val="major"/>
    </font>
    <font>
      <b/>
      <sz val="10"/>
      <color rgb="FF0000FF"/>
      <name val="돋움"/>
      <family val="3"/>
      <charset val="129"/>
    </font>
    <font>
      <sz val="11"/>
      <color rgb="FF0000FF"/>
      <name val="맑은 고딕"/>
      <family val="3"/>
      <charset val="129"/>
      <scheme val="minor"/>
    </font>
    <font>
      <b/>
      <sz val="10"/>
      <color rgb="FFFF0000"/>
      <name val="HY중고딕"/>
      <family val="1"/>
      <charset val="129"/>
    </font>
    <font>
      <sz val="10"/>
      <color theme="1"/>
      <name val="돋움"/>
      <family val="3"/>
      <charset val="129"/>
    </font>
    <font>
      <sz val="11"/>
      <color theme="1"/>
      <name val="맑은 고딕"/>
      <family val="2"/>
      <scheme val="minor"/>
    </font>
    <font>
      <sz val="12"/>
      <color theme="1"/>
      <name val="맑은 고딕"/>
      <family val="3"/>
      <charset val="129"/>
      <scheme val="minor"/>
    </font>
    <font>
      <sz val="12"/>
      <name val="맑은 고딕"/>
      <family val="3"/>
      <charset val="129"/>
      <scheme val="minor"/>
    </font>
    <font>
      <sz val="8"/>
      <name val="맑은 고딕"/>
      <family val="2"/>
      <charset val="129"/>
    </font>
    <font>
      <sz val="11"/>
      <color theme="1"/>
      <name val="맑은 고딕"/>
      <family val="3"/>
      <charset val="129"/>
      <scheme val="minor"/>
    </font>
    <font>
      <sz val="11"/>
      <name val="돋움"/>
      <family val="3"/>
      <charset val="129"/>
    </font>
    <font>
      <sz val="9"/>
      <name val="돋움"/>
      <family val="3"/>
      <charset val="129"/>
    </font>
    <font>
      <b/>
      <u/>
      <sz val="20"/>
      <color theme="1"/>
      <name val="맑은 고딕"/>
      <family val="3"/>
      <charset val="129"/>
      <scheme val="minor"/>
    </font>
    <font>
      <sz val="10"/>
      <name val="맑은 고딕"/>
      <family val="3"/>
      <charset val="129"/>
      <scheme val="minor"/>
    </font>
    <font>
      <sz val="11"/>
      <color rgb="FF000000"/>
      <name val="맑은 고딕"/>
      <family val="3"/>
      <charset val="129"/>
      <scheme val="minor"/>
    </font>
    <font>
      <sz val="11"/>
      <color theme="1"/>
      <name val="HY중고딕"/>
      <family val="1"/>
      <charset val="129"/>
    </font>
    <font>
      <sz val="11"/>
      <color theme="1"/>
      <name val="맑은 고딕"/>
      <family val="3"/>
      <charset val="129"/>
    </font>
    <font>
      <b/>
      <sz val="11"/>
      <color theme="1"/>
      <name val="맑은 고딕"/>
      <family val="3"/>
      <charset val="129"/>
      <scheme val="minor"/>
    </font>
    <font>
      <b/>
      <sz val="11"/>
      <color rgb="FFFF0000"/>
      <name val="맑은 고딕"/>
      <family val="3"/>
      <charset val="129"/>
      <scheme val="minor"/>
    </font>
    <font>
      <sz val="11"/>
      <name val="맑은 고딕"/>
      <family val="3"/>
      <charset val="129"/>
      <scheme val="minor"/>
    </font>
    <font>
      <b/>
      <u/>
      <sz val="10"/>
      <color theme="1"/>
      <name val="맑은 고딕"/>
      <family val="3"/>
      <charset val="129"/>
      <scheme val="major"/>
    </font>
    <font>
      <sz val="10"/>
      <color rgb="FF000000"/>
      <name val="맑은 고딕"/>
      <family val="3"/>
      <charset val="129"/>
      <scheme val="minor"/>
    </font>
    <font>
      <sz val="11"/>
      <color rgb="FF9C6500"/>
      <name val="맑은 고딕"/>
      <family val="2"/>
      <charset val="129"/>
      <scheme val="minor"/>
    </font>
    <font>
      <b/>
      <sz val="12"/>
      <color rgb="FFFF0000"/>
      <name val="돋움"/>
      <family val="3"/>
      <charset val="129"/>
    </font>
    <font>
      <sz val="10"/>
      <color rgb="FFFF0000"/>
      <name val="돋움"/>
      <family val="3"/>
      <charset val="129"/>
    </font>
    <font>
      <b/>
      <sz val="10.5"/>
      <color rgb="FFFF0000"/>
      <name val="돋움"/>
      <family val="3"/>
      <charset val="129"/>
    </font>
    <font>
      <b/>
      <sz val="10"/>
      <color rgb="FF0070C0"/>
      <name val="돋움"/>
      <family val="3"/>
      <charset val="129"/>
    </font>
    <font>
      <b/>
      <sz val="9"/>
      <color indexed="81"/>
      <name val="Tahoma"/>
      <family val="2"/>
    </font>
    <font>
      <sz val="9"/>
      <color indexed="81"/>
      <name val="Tahoma"/>
      <family val="2"/>
    </font>
    <font>
      <sz val="9"/>
      <color indexed="81"/>
      <name val="돋움"/>
      <family val="3"/>
      <charset val="129"/>
    </font>
    <font>
      <b/>
      <sz val="9"/>
      <color indexed="81"/>
      <name val="돋움"/>
      <family val="3"/>
      <charset val="129"/>
    </font>
    <font>
      <b/>
      <sz val="8"/>
      <color indexed="81"/>
      <name val="돋움"/>
      <family val="3"/>
      <charset val="129"/>
    </font>
    <font>
      <sz val="8"/>
      <color indexed="81"/>
      <name val="돋움"/>
      <family val="3"/>
      <charset val="129"/>
    </font>
    <font>
      <sz val="11"/>
      <name val="굴림체"/>
      <family val="3"/>
      <charset val="129"/>
    </font>
    <font>
      <b/>
      <u/>
      <sz val="14"/>
      <name val="굴림체"/>
      <family val="3"/>
      <charset val="129"/>
    </font>
    <font>
      <b/>
      <u/>
      <sz val="11"/>
      <name val="굴림체"/>
      <family val="3"/>
      <charset val="129"/>
    </font>
    <font>
      <b/>
      <sz val="9"/>
      <name val="굴림체"/>
      <family val="3"/>
      <charset val="129"/>
    </font>
    <font>
      <sz val="9"/>
      <name val="굴림체"/>
      <family val="3"/>
      <charset val="129"/>
    </font>
    <font>
      <b/>
      <sz val="9"/>
      <color rgb="FF0070C0"/>
      <name val="굴림체"/>
      <family val="3"/>
      <charset val="129"/>
    </font>
    <font>
      <b/>
      <sz val="11"/>
      <name val="굴림체"/>
      <family val="3"/>
      <charset val="129"/>
    </font>
    <font>
      <b/>
      <sz val="9"/>
      <color rgb="FFFF0000"/>
      <name val="굴림체"/>
      <family val="3"/>
      <charset val="129"/>
    </font>
    <font>
      <b/>
      <sz val="9"/>
      <color theme="0"/>
      <name val="굴림체"/>
      <family val="3"/>
      <charset val="129"/>
    </font>
    <font>
      <sz val="8"/>
      <color rgb="FFFF0000"/>
      <name val="굴림체"/>
      <family val="3"/>
      <charset val="129"/>
    </font>
    <font>
      <sz val="9"/>
      <color rgb="FFFF0000"/>
      <name val="굴림체"/>
      <family val="3"/>
      <charset val="129"/>
    </font>
    <font>
      <sz val="9"/>
      <color rgb="FF0070C0"/>
      <name val="굴림체"/>
      <family val="3"/>
      <charset val="129"/>
    </font>
    <font>
      <b/>
      <sz val="9"/>
      <name val="돋움"/>
      <family val="3"/>
      <charset val="129"/>
    </font>
    <font>
      <b/>
      <sz val="10"/>
      <name val="굴림체"/>
      <family val="3"/>
      <charset val="129"/>
    </font>
    <font>
      <b/>
      <sz val="10"/>
      <color theme="0" tint="-4.9989318521683403E-2"/>
      <name val="굴림체"/>
      <family val="3"/>
      <charset val="129"/>
    </font>
    <font>
      <b/>
      <sz val="10"/>
      <color theme="0" tint="-4.9989318521683403E-2"/>
      <name val="맑은 고딕"/>
      <family val="3"/>
      <charset val="129"/>
    </font>
    <font>
      <sz val="10"/>
      <color rgb="FFFF0000"/>
      <name val="맑은 고딕"/>
      <family val="3"/>
      <charset val="129"/>
    </font>
    <font>
      <sz val="10"/>
      <name val="굴림체"/>
      <family val="3"/>
      <charset val="129"/>
    </font>
    <font>
      <b/>
      <sz val="10"/>
      <name val="맑은 고딕"/>
      <family val="3"/>
      <charset val="129"/>
    </font>
    <font>
      <b/>
      <sz val="10"/>
      <color theme="0"/>
      <name val="맑은 고딕"/>
      <family val="3"/>
      <charset val="129"/>
    </font>
    <font>
      <b/>
      <sz val="10"/>
      <color rgb="FFFFFF00"/>
      <name val="맑은 고딕"/>
      <family val="3"/>
      <charset val="129"/>
    </font>
    <font>
      <sz val="9"/>
      <color rgb="FFFFFF00"/>
      <name val="돋움"/>
      <family val="3"/>
      <charset val="129"/>
    </font>
    <font>
      <b/>
      <sz val="9"/>
      <color theme="0"/>
      <name val="돋움"/>
      <family val="3"/>
      <charset val="129"/>
    </font>
    <font>
      <sz val="9"/>
      <color theme="0"/>
      <name val="돋움"/>
      <family val="3"/>
      <charset val="129"/>
    </font>
    <font>
      <sz val="10"/>
      <color theme="0" tint="-0.499984740745262"/>
      <name val="굴림체"/>
      <family val="3"/>
      <charset val="129"/>
    </font>
    <font>
      <b/>
      <sz val="9"/>
      <color rgb="FFFFFF00"/>
      <name val="돋움"/>
      <family val="3"/>
      <charset val="129"/>
    </font>
    <font>
      <sz val="9"/>
      <name val="맑은 고딕"/>
      <family val="3"/>
      <charset val="129"/>
      <scheme val="major"/>
    </font>
    <font>
      <b/>
      <sz val="20"/>
      <name val="굴림체"/>
      <family val="3"/>
      <charset val="129"/>
    </font>
    <font>
      <sz val="9"/>
      <color rgb="FF00FFFF"/>
      <name val="돋움"/>
      <family val="3"/>
      <charset val="129"/>
    </font>
    <font>
      <sz val="9"/>
      <color rgb="FF00FFFF"/>
      <name val="맑은 고딕"/>
      <family val="3"/>
      <charset val="129"/>
    </font>
    <font>
      <sz val="9"/>
      <color theme="0" tint="-0.499984740745262"/>
      <name val="돋움"/>
      <family val="3"/>
      <charset val="129"/>
    </font>
    <font>
      <sz val="10"/>
      <color indexed="8"/>
      <name val="굴림"/>
      <family val="3"/>
      <charset val="129"/>
    </font>
    <font>
      <sz val="10"/>
      <name val="굴림"/>
      <family val="3"/>
      <charset val="129"/>
    </font>
    <font>
      <b/>
      <sz val="10"/>
      <name val="HY견고딕"/>
      <family val="1"/>
      <charset val="129"/>
    </font>
    <font>
      <b/>
      <u/>
      <sz val="11"/>
      <color rgb="FF0070C0"/>
      <name val="HY헤드라인M"/>
      <family val="1"/>
      <charset val="129"/>
    </font>
    <font>
      <b/>
      <sz val="10"/>
      <color theme="0"/>
      <name val="굴림체"/>
      <family val="3"/>
      <charset val="129"/>
    </font>
    <font>
      <b/>
      <u/>
      <sz val="10"/>
      <name val="HY헤드라인M"/>
      <family val="1"/>
      <charset val="129"/>
    </font>
    <font>
      <b/>
      <sz val="10"/>
      <color theme="0" tint="-0.249977111117893"/>
      <name val="굴림체"/>
      <family val="3"/>
      <charset val="129"/>
    </font>
    <font>
      <b/>
      <sz val="10"/>
      <color theme="1" tint="0.499984740745262"/>
      <name val="굴림체"/>
      <family val="3"/>
      <charset val="129"/>
    </font>
    <font>
      <b/>
      <sz val="10"/>
      <name val="굴림"/>
      <family val="3"/>
      <charset val="129"/>
    </font>
    <font>
      <sz val="9"/>
      <color theme="1" tint="0.499984740745262"/>
      <name val="굴림체"/>
      <family val="3"/>
      <charset val="129"/>
    </font>
    <font>
      <sz val="10"/>
      <color theme="1" tint="0.499984740745262"/>
      <name val="굴림체"/>
      <family val="3"/>
      <charset val="129"/>
    </font>
    <font>
      <b/>
      <sz val="10"/>
      <color rgb="FFFF0000"/>
      <name val="굴림"/>
      <family val="3"/>
      <charset val="129"/>
    </font>
    <font>
      <sz val="8"/>
      <name val="굴림체"/>
      <family val="3"/>
      <charset val="129"/>
    </font>
    <font>
      <b/>
      <sz val="8"/>
      <color rgb="FF00B0F0"/>
      <name val="굴림체"/>
      <family val="3"/>
      <charset val="129"/>
    </font>
    <font>
      <b/>
      <sz val="8"/>
      <name val="굴림체"/>
      <family val="3"/>
      <charset val="129"/>
    </font>
    <font>
      <b/>
      <sz val="10"/>
      <color rgb="FFFF0000"/>
      <name val="굴림체"/>
      <family val="3"/>
      <charset val="129"/>
    </font>
    <font>
      <sz val="10"/>
      <color rgb="FF0000FF"/>
      <name val="굴림체"/>
      <family val="3"/>
      <charset val="129"/>
    </font>
    <font>
      <sz val="10"/>
      <color indexed="22"/>
      <name val="굴림체"/>
      <family val="3"/>
      <charset val="129"/>
    </font>
    <font>
      <sz val="10"/>
      <color theme="0"/>
      <name val="굴림체"/>
      <family val="3"/>
      <charset val="129"/>
    </font>
    <font>
      <sz val="10"/>
      <color theme="1" tint="0.499984740745262"/>
      <name val="맑은 고딕"/>
      <family val="3"/>
      <charset val="129"/>
    </font>
    <font>
      <sz val="10"/>
      <color theme="1"/>
      <name val="굴림체"/>
      <family val="3"/>
      <charset val="129"/>
    </font>
    <font>
      <b/>
      <sz val="10"/>
      <color theme="1"/>
      <name val="맑은 고딕"/>
      <family val="3"/>
      <charset val="129"/>
    </font>
    <font>
      <b/>
      <sz val="10"/>
      <color theme="1"/>
      <name val="굴림체"/>
      <family val="3"/>
      <charset val="129"/>
    </font>
    <font>
      <sz val="10"/>
      <color theme="1"/>
      <name val="맑은 고딕"/>
      <family val="3"/>
      <charset val="129"/>
    </font>
    <font>
      <sz val="10.5"/>
      <color theme="1"/>
      <name val="굴림체"/>
      <family val="3"/>
      <charset val="129"/>
    </font>
    <font>
      <sz val="10"/>
      <color theme="6" tint="-0.499984740745262"/>
      <name val="맑은 고딕"/>
      <family val="3"/>
      <charset val="129"/>
    </font>
    <font>
      <sz val="10"/>
      <color theme="1" tint="0.34998626667073579"/>
      <name val="맑은 고딕"/>
      <family val="3"/>
      <charset val="129"/>
    </font>
    <font>
      <b/>
      <sz val="10.5"/>
      <color rgb="FFFF0000"/>
      <name val="굴림체"/>
      <family val="3"/>
      <charset val="129"/>
    </font>
    <font>
      <b/>
      <sz val="9"/>
      <color theme="6" tint="-0.499984740745262"/>
      <name val="맑은 고딕"/>
      <family val="3"/>
      <charset val="129"/>
    </font>
    <font>
      <b/>
      <sz val="10"/>
      <color rgb="FF0000FF"/>
      <name val="굴림체"/>
      <family val="3"/>
      <charset val="129"/>
    </font>
    <font>
      <b/>
      <sz val="10"/>
      <color rgb="FFFF3300"/>
      <name val="굴림체"/>
      <family val="3"/>
      <charset val="129"/>
    </font>
    <font>
      <b/>
      <sz val="10.5"/>
      <color rgb="FFFF3300"/>
      <name val="굴림체"/>
      <family val="3"/>
      <charset val="129"/>
    </font>
    <font>
      <b/>
      <sz val="10"/>
      <color theme="6" tint="-0.499984740745262"/>
      <name val="맑은 고딕"/>
      <family val="3"/>
      <charset val="129"/>
    </font>
    <font>
      <b/>
      <sz val="14"/>
      <color rgb="FFFF0000"/>
      <name val="굴림체"/>
      <family val="3"/>
      <charset val="129"/>
    </font>
    <font>
      <sz val="10"/>
      <color rgb="FFFF0000"/>
      <name val="굴림체"/>
      <family val="3"/>
      <charset val="129"/>
    </font>
    <font>
      <sz val="10"/>
      <color theme="6" tint="-0.499984740745262"/>
      <name val="맑은 고딕"/>
      <family val="3"/>
      <charset val="129"/>
      <scheme val="major"/>
    </font>
    <font>
      <vertAlign val="superscript"/>
      <sz val="10"/>
      <color rgb="FF000000"/>
      <name val="맑은 고딕"/>
      <family val="3"/>
      <charset val="129"/>
      <scheme val="minor"/>
    </font>
    <font>
      <b/>
      <sz val="14"/>
      <name val="굴림체"/>
      <family val="3"/>
      <charset val="129"/>
    </font>
    <font>
      <b/>
      <sz val="10"/>
      <color rgb="FF0070C0"/>
      <name val="굴림체"/>
      <family val="3"/>
      <charset val="129"/>
    </font>
    <font>
      <sz val="9"/>
      <color theme="1" tint="0.34998626667073579"/>
      <name val="굴림체"/>
      <family val="3"/>
      <charset val="129"/>
    </font>
    <font>
      <b/>
      <vertAlign val="superscript"/>
      <sz val="10"/>
      <name val="굴림체"/>
      <family val="3"/>
      <charset val="129"/>
    </font>
    <font>
      <sz val="9"/>
      <color theme="1"/>
      <name val="굴림체"/>
      <family val="3"/>
      <charset val="129"/>
    </font>
    <font>
      <b/>
      <sz val="12"/>
      <color rgb="FF0070C0"/>
      <name val="돋움"/>
      <family val="3"/>
      <charset val="129"/>
    </font>
    <font>
      <b/>
      <sz val="11"/>
      <name val="돋움"/>
      <family val="3"/>
      <charset val="129"/>
    </font>
    <font>
      <b/>
      <sz val="9"/>
      <color theme="0" tint="-0.34998626667073579"/>
      <name val="돋움"/>
      <family val="3"/>
      <charset val="129"/>
    </font>
    <font>
      <b/>
      <sz val="12"/>
      <color indexed="81"/>
      <name val="Tahoma"/>
      <family val="2"/>
    </font>
    <font>
      <b/>
      <sz val="12"/>
      <color indexed="81"/>
      <name val="돋움"/>
      <family val="3"/>
      <charset val="129"/>
    </font>
    <font>
      <b/>
      <sz val="20"/>
      <color theme="1"/>
      <name val="맑은 고딕"/>
      <family val="3"/>
      <charset val="129"/>
      <scheme val="minor"/>
    </font>
    <font>
      <b/>
      <sz val="10"/>
      <color rgb="FF000000"/>
      <name val="돋움"/>
      <family val="3"/>
      <charset val="129"/>
    </font>
    <font>
      <sz val="10"/>
      <color rgb="FF000000"/>
      <name val="돋움"/>
      <family val="3"/>
      <charset val="129"/>
    </font>
    <font>
      <vertAlign val="superscript"/>
      <sz val="10"/>
      <color rgb="FF000000"/>
      <name val="돋움"/>
      <family val="3"/>
      <charset val="129"/>
    </font>
    <font>
      <sz val="5"/>
      <color rgb="FF000000"/>
      <name val="돋움"/>
      <family val="3"/>
      <charset val="129"/>
    </font>
    <font>
      <sz val="9.5"/>
      <color rgb="FF000000"/>
      <name val="돋움"/>
      <family val="3"/>
      <charset val="129"/>
    </font>
    <font>
      <sz val="10"/>
      <name val="맑은 고딕"/>
      <family val="3"/>
      <charset val="129"/>
      <scheme val="major"/>
    </font>
    <font>
      <i/>
      <sz val="10"/>
      <color theme="0" tint="-0.34998626667073579"/>
      <name val="돋움"/>
      <family val="3"/>
      <charset val="129"/>
    </font>
    <font>
      <b/>
      <i/>
      <sz val="10"/>
      <color theme="0" tint="-0.34998626667073579"/>
      <name val="돋움"/>
      <family val="3"/>
      <charset val="129"/>
    </font>
    <font>
      <i/>
      <sz val="11"/>
      <color theme="0" tint="-0.34998626667073579"/>
      <name val="맑은 고딕"/>
      <family val="3"/>
      <charset val="129"/>
      <scheme val="minor"/>
    </font>
  </fonts>
  <fills count="34">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BBBBBB"/>
        <bgColor rgb="FF000000"/>
      </patternFill>
    </fill>
    <fill>
      <patternFill patternType="solid">
        <fgColor rgb="FFCCCCCC"/>
        <bgColor indexed="64"/>
      </patternFill>
    </fill>
    <fill>
      <patternFill patternType="solid">
        <fgColor theme="0"/>
        <bgColor indexed="64"/>
      </patternFill>
    </fill>
    <fill>
      <patternFill patternType="solid">
        <fgColor rgb="FFFFEB9C"/>
      </patternFill>
    </fill>
    <fill>
      <patternFill patternType="solid">
        <fgColor theme="4" tint="0.59999389629810485"/>
        <bgColor indexed="64"/>
      </patternFill>
    </fill>
    <fill>
      <patternFill patternType="solid">
        <fgColor rgb="FFFFFFCC"/>
        <bgColor indexed="64"/>
      </patternFill>
    </fill>
    <fill>
      <patternFill patternType="solid">
        <fgColor rgb="FFFFCCFF"/>
        <bgColor indexed="64"/>
      </patternFill>
    </fill>
    <fill>
      <patternFill patternType="solid">
        <fgColor theme="0" tint="-0.249977111117893"/>
        <bgColor indexed="64"/>
      </patternFill>
    </fill>
    <fill>
      <patternFill patternType="solid">
        <fgColor rgb="FFCCFF33"/>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CCFF99"/>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FFE7D8"/>
        <bgColor indexed="64"/>
      </patternFill>
    </fill>
  </fills>
  <borders count="15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right style="thin">
        <color rgb="FFFF0000"/>
      </right>
      <top style="thin">
        <color indexed="64"/>
      </top>
      <bottom/>
      <diagonal/>
    </border>
    <border>
      <left style="thin">
        <color rgb="FFFF0000"/>
      </left>
      <right/>
      <top style="thin">
        <color rgb="FFFF0000"/>
      </top>
      <bottom style="thin">
        <color rgb="FFFF0000"/>
      </bottom>
      <diagonal/>
    </border>
    <border>
      <left/>
      <right/>
      <top/>
      <bottom style="medium">
        <color indexed="64"/>
      </bottom>
      <diagonal/>
    </border>
    <border>
      <left/>
      <right style="thin">
        <color rgb="FFFF0000"/>
      </right>
      <top style="thin">
        <color rgb="FFFF0000"/>
      </top>
      <bottom style="thin">
        <color rgb="FFFF0000"/>
      </bottom>
      <diagonal/>
    </border>
    <border>
      <left/>
      <right/>
      <top style="thin">
        <color rgb="FFFF0000"/>
      </top>
      <bottom style="thin">
        <color rgb="FFFF0000"/>
      </bottom>
      <diagonal/>
    </border>
    <border>
      <left style="medium">
        <color indexed="64"/>
      </left>
      <right/>
      <top style="thin">
        <color indexed="64"/>
      </top>
      <bottom style="thin">
        <color auto="1"/>
      </bottom>
      <diagonal/>
    </border>
    <border>
      <left/>
      <right style="thin">
        <color rgb="FFFF0000"/>
      </right>
      <top style="thin">
        <color indexed="64"/>
      </top>
      <bottom style="medium">
        <color indexed="64"/>
      </bottom>
      <diagonal/>
    </border>
    <border>
      <left style="medium">
        <color indexed="64"/>
      </left>
      <right/>
      <top/>
      <bottom/>
      <diagonal/>
    </border>
    <border>
      <left style="medium">
        <color indexed="64"/>
      </left>
      <right/>
      <top/>
      <bottom style="thin">
        <color auto="1"/>
      </bottom>
      <diagonal/>
    </border>
    <border>
      <left style="thin">
        <color auto="1"/>
      </left>
      <right/>
      <top style="thin">
        <color auto="1"/>
      </top>
      <bottom style="thin">
        <color rgb="FFFF0000"/>
      </bottom>
      <diagonal/>
    </border>
    <border>
      <left/>
      <right style="thin">
        <color auto="1"/>
      </right>
      <top style="thin">
        <color auto="1"/>
      </top>
      <bottom style="thin">
        <color rgb="FFFF0000"/>
      </bottom>
      <diagonal/>
    </border>
    <border>
      <left style="thin">
        <color rgb="FFFF0000"/>
      </left>
      <right/>
      <top style="thin">
        <color rgb="FFFF0000"/>
      </top>
      <bottom style="medium">
        <color auto="1"/>
      </bottom>
      <diagonal/>
    </border>
    <border>
      <left style="thin">
        <color rgb="FFFF0000"/>
      </left>
      <right/>
      <top/>
      <bottom style="medium">
        <color indexed="64"/>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thin">
        <color auto="1"/>
      </bottom>
      <diagonal/>
    </border>
    <border>
      <left style="thin">
        <color rgb="FFFF0000"/>
      </left>
      <right/>
      <top/>
      <bottom style="thin">
        <color rgb="FFFF0000"/>
      </bottom>
      <diagonal/>
    </border>
    <border>
      <left/>
      <right/>
      <top/>
      <bottom style="thin">
        <color rgb="FFFF0000"/>
      </bottom>
      <diagonal/>
    </border>
    <border>
      <left style="thin">
        <color rgb="FFFF0000"/>
      </left>
      <right style="thin">
        <color rgb="FFFF0000"/>
      </right>
      <top style="thin">
        <color rgb="FFFF0000"/>
      </top>
      <bottom style="thin">
        <color rgb="FFFF0000"/>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FF0000"/>
      </left>
      <right/>
      <top style="thin">
        <color indexed="64"/>
      </top>
      <bottom style="thin">
        <color rgb="FFFF0000"/>
      </bottom>
      <diagonal/>
    </border>
    <border>
      <left/>
      <right style="thin">
        <color rgb="FFFF0000"/>
      </right>
      <top style="thin">
        <color indexed="64"/>
      </top>
      <bottom style="thin">
        <color rgb="FFFF0000"/>
      </bottom>
      <diagonal/>
    </border>
    <border>
      <left/>
      <right/>
      <top style="thin">
        <color indexed="64"/>
      </top>
      <bottom style="thin">
        <color rgb="FFFF0000"/>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rgb="FFFF0000"/>
      </bottom>
      <diagonal/>
    </border>
    <border>
      <left/>
      <right/>
      <top style="thin">
        <color rgb="FFFF0000"/>
      </top>
      <bottom style="thin">
        <color indexed="64"/>
      </bottom>
      <diagonal/>
    </border>
    <border>
      <left/>
      <right style="medium">
        <color indexed="64"/>
      </right>
      <top style="thin">
        <color rgb="FFFF0000"/>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rgb="FFFF0000"/>
      </left>
      <right style="thin">
        <color rgb="FFFF0000"/>
      </right>
      <top style="thin">
        <color rgb="FFFF0000"/>
      </top>
      <bottom style="medium">
        <color auto="1"/>
      </bottom>
      <diagonal/>
    </border>
    <border>
      <left/>
      <right style="thin">
        <color rgb="FFFF0000"/>
      </right>
      <top/>
      <bottom style="medium">
        <color indexed="64"/>
      </bottom>
      <diagonal/>
    </border>
    <border>
      <left style="thin">
        <color rgb="FFFF0000"/>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rgb="FFFF0000"/>
      </left>
      <right style="thin">
        <color rgb="FFFF0000"/>
      </right>
      <top/>
      <bottom style="thin">
        <color rgb="FFFF0000"/>
      </bottom>
      <diagonal/>
    </border>
    <border>
      <left style="thin">
        <color rgb="FFFF0000"/>
      </left>
      <right style="medium">
        <color indexed="64"/>
      </right>
      <top/>
      <bottom style="thin">
        <color rgb="FFFF0000"/>
      </bottom>
      <diagonal/>
    </border>
    <border>
      <left style="thin">
        <color rgb="FFFF0000"/>
      </left>
      <right style="thin">
        <color rgb="FFFF0000"/>
      </right>
      <top style="thin">
        <color rgb="FFFF0000"/>
      </top>
      <bottom style="thin">
        <color indexed="64"/>
      </bottom>
      <diagonal/>
    </border>
    <border>
      <left style="thin">
        <color rgb="FFFF0000"/>
      </left>
      <right style="medium">
        <color indexed="64"/>
      </right>
      <top style="thin">
        <color rgb="FFFF0000"/>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ck">
        <color rgb="FFFF0000"/>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n">
        <color rgb="FFFF0000"/>
      </left>
      <right/>
      <top style="thin">
        <color rgb="FFFF0000"/>
      </top>
      <bottom/>
      <diagonal/>
    </border>
    <border>
      <left/>
      <right/>
      <top style="thin">
        <color rgb="FFFF0000"/>
      </top>
      <bottom/>
      <diagonal/>
    </border>
    <border>
      <left/>
      <right style="medium">
        <color indexed="64"/>
      </right>
      <top style="thin">
        <color rgb="FFFF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ck">
        <color rgb="FFFF0000"/>
      </left>
      <right style="thin">
        <color rgb="FFFF0000"/>
      </right>
      <top style="thick">
        <color rgb="FFFF0000"/>
      </top>
      <bottom/>
      <diagonal/>
    </border>
    <border>
      <left style="thin">
        <color rgb="FFFF0000"/>
      </left>
      <right style="thick">
        <color rgb="FFFF0000"/>
      </right>
      <top style="thick">
        <color rgb="FFFF0000"/>
      </top>
      <bottom/>
      <diagonal/>
    </border>
    <border>
      <left/>
      <right style="medium">
        <color indexed="64"/>
      </right>
      <top/>
      <bottom style="thin">
        <color indexed="64"/>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right style="medium">
        <color indexed="64"/>
      </right>
      <top/>
      <bottom/>
      <diagonal/>
    </border>
    <border>
      <left style="thin">
        <color indexed="64"/>
      </left>
      <right style="thin">
        <color indexed="64"/>
      </right>
      <top style="medium">
        <color rgb="FF0070C0"/>
      </top>
      <bottom style="thin">
        <color indexed="64"/>
      </bottom>
      <diagonal/>
    </border>
    <border>
      <left/>
      <right/>
      <top style="medium">
        <color rgb="FF0070C0"/>
      </top>
      <bottom/>
      <diagonal/>
    </border>
    <border>
      <left/>
      <right style="medium">
        <color indexed="64"/>
      </right>
      <top style="medium">
        <color rgb="FF0070C0"/>
      </top>
      <bottom/>
      <diagonal/>
    </border>
    <border>
      <left style="thin">
        <color indexed="64"/>
      </left>
      <right/>
      <top style="thin">
        <color rgb="FFFF0000"/>
      </top>
      <bottom style="thin">
        <color rgb="FFFF0000"/>
      </bottom>
      <diagonal/>
    </border>
    <border>
      <left style="thin">
        <color theme="1"/>
      </left>
      <right style="medium">
        <color indexed="64"/>
      </right>
      <top style="thin">
        <color theme="1"/>
      </top>
      <bottom style="thin">
        <color theme="1"/>
      </bottom>
      <diagonal/>
    </border>
    <border>
      <left/>
      <right style="thin">
        <color theme="1"/>
      </right>
      <top style="thin">
        <color rgb="FFFF0000"/>
      </top>
      <bottom style="thin">
        <color rgb="FFFF0000"/>
      </bottom>
      <diagonal/>
    </border>
    <border>
      <left style="thin">
        <color indexed="64"/>
      </left>
      <right style="thin">
        <color indexed="64"/>
      </right>
      <top style="thin">
        <color indexed="64"/>
      </top>
      <bottom style="medium">
        <color rgb="FF0070C0"/>
      </bottom>
      <diagonal/>
    </border>
    <border>
      <left/>
      <right/>
      <top style="thin">
        <color rgb="FFFF0000"/>
      </top>
      <bottom style="medium">
        <color rgb="FF0070C0"/>
      </bottom>
      <diagonal/>
    </border>
    <border>
      <left/>
      <right/>
      <top/>
      <bottom style="medium">
        <color rgb="FF0070C0"/>
      </bottom>
      <diagonal/>
    </border>
    <border>
      <left/>
      <right style="medium">
        <color indexed="64"/>
      </right>
      <top/>
      <bottom style="medium">
        <color rgb="FF0070C0"/>
      </bottom>
      <diagonal/>
    </border>
    <border>
      <left style="thick">
        <color rgb="FFFF0000"/>
      </left>
      <right/>
      <top style="thick">
        <color rgb="FFFF0000"/>
      </top>
      <bottom/>
      <diagonal/>
    </border>
    <border>
      <left/>
      <right style="thick">
        <color rgb="FFFF0000"/>
      </right>
      <top style="thick">
        <color rgb="FFFF0000"/>
      </top>
      <bottom/>
      <diagonal/>
    </border>
    <border>
      <left/>
      <right style="thin">
        <color rgb="FFFF0000"/>
      </right>
      <top style="thin">
        <color rgb="FFFF0000"/>
      </top>
      <bottom/>
      <diagonal/>
    </border>
    <border>
      <left style="thick">
        <color rgb="FFFF0000"/>
      </left>
      <right/>
      <top/>
      <bottom/>
      <diagonal/>
    </border>
    <border>
      <left/>
      <right style="thick">
        <color rgb="FFFF0000"/>
      </right>
      <top/>
      <bottom/>
      <diagonal/>
    </border>
    <border>
      <left style="thin">
        <color rgb="FFFF0000"/>
      </left>
      <right/>
      <top/>
      <bottom/>
      <diagonal/>
    </border>
    <border>
      <left/>
      <right style="thin">
        <color rgb="FFFF0000"/>
      </right>
      <top/>
      <bottom/>
      <diagonal/>
    </border>
    <border>
      <left style="thick">
        <color rgb="FFFF0000"/>
      </left>
      <right/>
      <top/>
      <bottom style="thick">
        <color rgb="FFFF0000"/>
      </bottom>
      <diagonal/>
    </border>
    <border>
      <left/>
      <right style="thick">
        <color rgb="FFFF0000"/>
      </right>
      <top/>
      <bottom style="thick">
        <color rgb="FFFF0000"/>
      </bottom>
      <diagonal/>
    </border>
    <border>
      <left/>
      <right/>
      <top/>
      <bottom style="thick">
        <color rgb="FF00B050"/>
      </bottom>
      <diagonal/>
    </border>
    <border>
      <left/>
      <right style="thin">
        <color rgb="FFFF0000"/>
      </right>
      <top/>
      <bottom style="thin">
        <color rgb="FFFF0000"/>
      </bottom>
      <diagonal/>
    </border>
    <border>
      <left style="medium">
        <color rgb="FFFF0000"/>
      </left>
      <right style="medium">
        <color rgb="FFFF0000"/>
      </right>
      <top style="medium">
        <color rgb="FFFF0000"/>
      </top>
      <bottom style="medium">
        <color rgb="FFFF0000"/>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Dashed">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Dashed">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Dashed">
        <color indexed="64"/>
      </right>
      <top style="thin">
        <color indexed="64"/>
      </top>
      <bottom/>
      <diagonal/>
    </border>
    <border>
      <left/>
      <right/>
      <top/>
      <bottom style="thick">
        <color theme="0"/>
      </bottom>
      <diagonal/>
    </border>
    <border>
      <left/>
      <right style="thin">
        <color indexed="64"/>
      </right>
      <top/>
      <bottom style="thick">
        <color theme="0"/>
      </bottom>
      <diagonal/>
    </border>
    <border>
      <left style="thin">
        <color indexed="64"/>
      </left>
      <right style="thin">
        <color indexed="64"/>
      </right>
      <top/>
      <bottom style="mediumDashed">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
      <left style="thin">
        <color indexed="64"/>
      </left>
      <right/>
      <top style="mediumDashed">
        <color indexed="64"/>
      </top>
      <bottom/>
      <diagonal/>
    </border>
    <border>
      <left/>
      <right style="thin">
        <color indexed="64"/>
      </right>
      <top style="mediumDashed">
        <color indexed="64"/>
      </top>
      <bottom/>
      <diagonal/>
    </border>
    <border>
      <left style="thin">
        <color indexed="64"/>
      </left>
      <right/>
      <top style="mediumDashed">
        <color indexed="64"/>
      </top>
      <bottom style="thin">
        <color indexed="64"/>
      </bottom>
      <diagonal/>
    </border>
    <border>
      <left/>
      <right/>
      <top style="mediumDashed">
        <color indexed="64"/>
      </top>
      <bottom style="thin">
        <color indexed="64"/>
      </bottom>
      <diagonal/>
    </border>
    <border>
      <left/>
      <right style="thin">
        <color indexed="64"/>
      </right>
      <top style="mediumDashed">
        <color indexed="64"/>
      </top>
      <bottom style="thin">
        <color indexed="64"/>
      </bottom>
      <diagonal/>
    </border>
    <border>
      <left style="medium">
        <color rgb="FFFF0000"/>
      </left>
      <right/>
      <top style="thin">
        <color indexed="64"/>
      </top>
      <bottom style="thin">
        <color indexed="64"/>
      </bottom>
      <diagonal/>
    </border>
    <border>
      <left/>
      <right style="medium">
        <color rgb="FFFF0000"/>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Dashed">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Dashed">
        <color indexed="64"/>
      </top>
      <bottom style="medium">
        <color indexed="64"/>
      </bottom>
      <diagonal/>
    </border>
    <border>
      <left/>
      <right style="thick">
        <color rgb="FFFF0000"/>
      </right>
      <top style="thick">
        <color rgb="FFFF0000"/>
      </top>
      <bottom style="thick">
        <color rgb="FFFF0000"/>
      </bottom>
      <diagonal/>
    </border>
    <border>
      <left style="thin">
        <color indexed="64"/>
      </left>
      <right style="thin">
        <color indexed="64"/>
      </right>
      <top style="thick">
        <color rgb="FFFF0000"/>
      </top>
      <bottom style="mediumDashed">
        <color indexed="64"/>
      </bottom>
      <diagonal/>
    </border>
    <border>
      <left style="thin">
        <color indexed="64"/>
      </left>
      <right style="thin">
        <color indexed="64"/>
      </right>
      <top style="thick">
        <color rgb="FFFF0000"/>
      </top>
      <bottom style="medium">
        <color indexed="64"/>
      </bottom>
      <diagonal/>
    </border>
    <border>
      <left/>
      <right/>
      <top style="mediumDashed">
        <color indexed="64"/>
      </top>
      <bottom style="medium">
        <color indexed="64"/>
      </bottom>
      <diagonal/>
    </border>
    <border>
      <left style="thin">
        <color indexed="64"/>
      </left>
      <right style="thin">
        <color indexed="64"/>
      </right>
      <top style="mediumDashed">
        <color indexed="64"/>
      </top>
      <bottom style="medium">
        <color indexed="64"/>
      </bottom>
      <diagonal/>
    </border>
    <border>
      <left style="thick">
        <color rgb="FFFF0000"/>
      </left>
      <right style="thick">
        <color rgb="FFFF0000"/>
      </right>
      <top style="thick">
        <color rgb="FFFF0000"/>
      </top>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medium">
        <color rgb="FFFF0000"/>
      </top>
      <bottom style="thin">
        <color indexed="64"/>
      </bottom>
      <diagonal/>
    </border>
    <border>
      <left/>
      <right style="thin">
        <color auto="1"/>
      </right>
      <top style="medium">
        <color rgb="FFFF0000"/>
      </top>
      <bottom style="thin">
        <color indexed="64"/>
      </bottom>
      <diagonal/>
    </border>
    <border>
      <left style="thick">
        <color rgb="FFFF0000"/>
      </left>
      <right/>
      <top style="thick">
        <color rgb="FFFF0000"/>
      </top>
      <bottom style="thick">
        <color rgb="FFFF0000"/>
      </bottom>
      <diagonal/>
    </border>
    <border>
      <left/>
      <right style="thick">
        <color rgb="FFFF0000"/>
      </right>
      <top style="thin">
        <color indexed="64"/>
      </top>
      <bottom style="thin">
        <color auto="1"/>
      </bottom>
      <diagonal/>
    </border>
  </borders>
  <cellStyleXfs count="16">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0" fontId="25" fillId="0" borderId="0"/>
    <xf numFmtId="0" fontId="4" fillId="0" borderId="0">
      <alignment vertical="center"/>
    </xf>
    <xf numFmtId="0" fontId="25" fillId="0" borderId="0"/>
    <xf numFmtId="0" fontId="29" fillId="0" borderId="0">
      <alignment vertical="center"/>
    </xf>
    <xf numFmtId="0" fontId="30" fillId="0" borderId="0">
      <alignment vertical="center"/>
    </xf>
    <xf numFmtId="0" fontId="25" fillId="0" borderId="0"/>
    <xf numFmtId="0" fontId="30" fillId="0" borderId="0">
      <alignment vertical="center"/>
    </xf>
    <xf numFmtId="0" fontId="42" fillId="14" borderId="0" applyNumberFormat="0" applyBorder="0" applyAlignment="0" applyProtection="0">
      <alignment vertical="center"/>
    </xf>
    <xf numFmtId="0" fontId="30" fillId="0" borderId="0"/>
    <xf numFmtId="0" fontId="30" fillId="0" borderId="0"/>
    <xf numFmtId="0" fontId="30" fillId="0" borderId="0">
      <alignment vertical="center"/>
    </xf>
  </cellStyleXfs>
  <cellXfs count="884">
    <xf numFmtId="0" fontId="0" fillId="0" borderId="0" xfId="0">
      <alignment vertical="center"/>
    </xf>
    <xf numFmtId="0" fontId="8" fillId="4" borderId="6" xfId="0" applyFont="1" applyFill="1" applyBorder="1">
      <alignment vertical="center"/>
    </xf>
    <xf numFmtId="0" fontId="8" fillId="0" borderId="0" xfId="0" applyFont="1">
      <alignment vertical="center"/>
    </xf>
    <xf numFmtId="0" fontId="9" fillId="0" borderId="0" xfId="0" applyFont="1">
      <alignment vertical="center"/>
    </xf>
    <xf numFmtId="0" fontId="12" fillId="0" borderId="0" xfId="0" applyFont="1">
      <alignment vertical="center"/>
    </xf>
    <xf numFmtId="0" fontId="8" fillId="3" borderId="14" xfId="0" applyFont="1" applyFill="1" applyBorder="1" applyProtection="1">
      <alignment vertical="center"/>
      <protection locked="0"/>
    </xf>
    <xf numFmtId="0" fontId="8" fillId="0" borderId="24" xfId="0" applyFont="1" applyBorder="1" applyProtection="1">
      <alignment vertical="center"/>
      <protection locked="0"/>
    </xf>
    <xf numFmtId="0" fontId="8" fillId="4" borderId="5" xfId="0" applyFont="1" applyFill="1" applyBorder="1">
      <alignment vertical="center"/>
    </xf>
    <xf numFmtId="0" fontId="7" fillId="0" borderId="0" xfId="0" applyFont="1">
      <alignment vertical="center"/>
    </xf>
    <xf numFmtId="0" fontId="3" fillId="0" borderId="0" xfId="0" applyFont="1" applyProtection="1">
      <alignment vertical="center"/>
      <protection locked="0"/>
    </xf>
    <xf numFmtId="0" fontId="14" fillId="0" borderId="0" xfId="0" applyFont="1">
      <alignment vertical="center"/>
    </xf>
    <xf numFmtId="0" fontId="15" fillId="0" borderId="0" xfId="0" applyFont="1">
      <alignment vertical="center"/>
    </xf>
    <xf numFmtId="0" fontId="13" fillId="0" borderId="5" xfId="0" applyFont="1" applyBorder="1" applyAlignment="1" applyProtection="1">
      <alignment vertical="center" wrapText="1"/>
      <protection locked="0"/>
    </xf>
    <xf numFmtId="177" fontId="13" fillId="3" borderId="1" xfId="0" applyNumberFormat="1" applyFont="1" applyFill="1" applyBorder="1" applyProtection="1">
      <alignment vertical="center"/>
      <protection locked="0"/>
    </xf>
    <xf numFmtId="0" fontId="18" fillId="0" borderId="0" xfId="0" applyFont="1">
      <alignment vertical="center"/>
    </xf>
    <xf numFmtId="0" fontId="23" fillId="0" borderId="1" xfId="0" applyFont="1" applyBorder="1" applyAlignment="1" applyProtection="1">
      <alignment horizontal="center" vertical="center"/>
      <protection locked="0"/>
    </xf>
    <xf numFmtId="0" fontId="26" fillId="0" borderId="1" xfId="5" applyFont="1" applyBorder="1" applyAlignment="1">
      <alignment horizontal="center" vertical="center"/>
    </xf>
    <xf numFmtId="0" fontId="27" fillId="0" borderId="1" xfId="0" applyFont="1" applyBorder="1" applyAlignment="1">
      <alignment horizontal="left" vertical="center"/>
    </xf>
    <xf numFmtId="0" fontId="26" fillId="0" borderId="1" xfId="5" applyFont="1" applyBorder="1" applyAlignment="1">
      <alignment horizontal="left" vertical="center"/>
    </xf>
    <xf numFmtId="0" fontId="27" fillId="0" borderId="1" xfId="6" applyFont="1" applyBorder="1" applyAlignment="1">
      <alignment horizontal="left" vertical="center"/>
    </xf>
    <xf numFmtId="0" fontId="26" fillId="0" borderId="1" xfId="7" applyFont="1" applyBorder="1" applyAlignment="1">
      <alignment horizontal="left" vertical="center"/>
    </xf>
    <xf numFmtId="0" fontId="27" fillId="0" borderId="1" xfId="5" applyFont="1" applyBorder="1" applyAlignment="1">
      <alignment horizontal="left" vertical="center"/>
    </xf>
    <xf numFmtId="0" fontId="29" fillId="0" borderId="0" xfId="0" applyFont="1">
      <alignment vertical="center"/>
    </xf>
    <xf numFmtId="0" fontId="29" fillId="0" borderId="0" xfId="0" applyFont="1" applyAlignment="1">
      <alignment horizontal="center" vertical="center"/>
    </xf>
    <xf numFmtId="0" fontId="29" fillId="0" borderId="0" xfId="0" applyFont="1" applyAlignment="1">
      <alignment horizontal="left" vertical="center"/>
    </xf>
    <xf numFmtId="0" fontId="34" fillId="12" borderId="1" xfId="0" applyFont="1" applyFill="1" applyBorder="1" applyAlignment="1">
      <alignment horizontal="center" vertical="center" wrapText="1"/>
    </xf>
    <xf numFmtId="0" fontId="34" fillId="11" borderId="1" xfId="0" applyFont="1" applyFill="1" applyBorder="1" applyAlignment="1">
      <alignment horizontal="center" vertical="center" wrapText="1"/>
    </xf>
    <xf numFmtId="0" fontId="14" fillId="0" borderId="0" xfId="0" applyFont="1" applyAlignment="1">
      <alignment horizontal="center" vertical="center"/>
    </xf>
    <xf numFmtId="0" fontId="13" fillId="0" borderId="1" xfId="0" applyFont="1" applyBorder="1" applyAlignment="1" applyProtection="1">
      <alignment horizontal="center" vertical="center"/>
      <protection locked="0"/>
    </xf>
    <xf numFmtId="0" fontId="8" fillId="0" borderId="31" xfId="0" applyFont="1" applyBorder="1">
      <alignment vertical="center"/>
    </xf>
    <xf numFmtId="0" fontId="26" fillId="0" borderId="4" xfId="5" applyFont="1" applyBorder="1" applyAlignment="1">
      <alignment horizontal="center" vertical="center"/>
    </xf>
    <xf numFmtId="0" fontId="0" fillId="0" borderId="0" xfId="0" applyAlignment="1">
      <alignment horizontal="center" vertical="center"/>
    </xf>
    <xf numFmtId="0" fontId="35" fillId="0" borderId="1" xfId="0" applyFont="1" applyBorder="1" applyAlignment="1">
      <alignment horizontal="center" vertical="center"/>
    </xf>
    <xf numFmtId="0" fontId="35" fillId="3" borderId="1" xfId="0" applyFont="1" applyFill="1" applyBorder="1">
      <alignment vertical="center"/>
    </xf>
    <xf numFmtId="177" fontId="29" fillId="7" borderId="1" xfId="0" applyNumberFormat="1" applyFont="1" applyFill="1" applyBorder="1" applyAlignment="1">
      <alignment horizontal="center" vertical="center"/>
    </xf>
    <xf numFmtId="41" fontId="39" fillId="13" borderId="1" xfId="1" applyFont="1" applyFill="1" applyBorder="1" applyAlignment="1" applyProtection="1">
      <alignment horizontal="right" vertical="center"/>
    </xf>
    <xf numFmtId="0" fontId="23" fillId="13" borderId="1" xfId="0" applyFont="1" applyFill="1" applyBorder="1" applyAlignment="1" applyProtection="1">
      <alignment horizontal="center" vertical="center"/>
      <protection locked="0"/>
    </xf>
    <xf numFmtId="41" fontId="7" fillId="0" borderId="0" xfId="3" applyFont="1" applyAlignment="1">
      <alignment horizontal="center" vertical="center"/>
    </xf>
    <xf numFmtId="41" fontId="7" fillId="0" borderId="0" xfId="3" applyFont="1" applyAlignment="1">
      <alignment vertical="center"/>
    </xf>
    <xf numFmtId="0" fontId="13" fillId="0" borderId="0" xfId="0" applyFont="1">
      <alignment vertical="center"/>
    </xf>
    <xf numFmtId="41" fontId="14" fillId="2" borderId="32" xfId="3" applyFont="1" applyFill="1" applyBorder="1" applyAlignment="1">
      <alignment horizontal="center" vertical="center"/>
    </xf>
    <xf numFmtId="183" fontId="14" fillId="2" borderId="32" xfId="3" applyNumberFormat="1" applyFont="1" applyFill="1" applyBorder="1" applyAlignment="1">
      <alignment horizontal="center" vertical="center"/>
    </xf>
    <xf numFmtId="180" fontId="14" fillId="2" borderId="32" xfId="3" applyNumberFormat="1" applyFont="1" applyFill="1" applyBorder="1" applyAlignment="1">
      <alignment horizontal="center" vertical="center"/>
    </xf>
    <xf numFmtId="176" fontId="14" fillId="4" borderId="32" xfId="4" applyNumberFormat="1" applyFont="1" applyFill="1" applyBorder="1" applyAlignment="1">
      <alignment horizontal="center" vertical="center"/>
    </xf>
    <xf numFmtId="176" fontId="14" fillId="4" borderId="32" xfId="2" applyNumberFormat="1" applyFont="1" applyFill="1" applyBorder="1" applyAlignment="1">
      <alignment horizontal="center" vertical="center"/>
    </xf>
    <xf numFmtId="41" fontId="16" fillId="13" borderId="32" xfId="3" applyFont="1" applyFill="1" applyBorder="1" applyAlignment="1">
      <alignment horizontal="center" vertical="center"/>
    </xf>
    <xf numFmtId="3" fontId="16" fillId="13" borderId="32" xfId="0" applyNumberFormat="1" applyFont="1" applyFill="1" applyBorder="1" applyAlignment="1">
      <alignment horizontal="right" vertical="center" wrapText="1"/>
    </xf>
    <xf numFmtId="41" fontId="16" fillId="13" borderId="32" xfId="1" applyFont="1" applyFill="1" applyBorder="1" applyAlignment="1">
      <alignment horizontal="right" vertical="center" wrapText="1"/>
    </xf>
    <xf numFmtId="176" fontId="16" fillId="13" borderId="32" xfId="0" applyNumberFormat="1" applyFont="1" applyFill="1" applyBorder="1" applyAlignment="1">
      <alignment horizontal="right" vertical="center" wrapText="1"/>
    </xf>
    <xf numFmtId="177" fontId="23" fillId="0" borderId="1" xfId="0" applyNumberFormat="1" applyFont="1" applyBorder="1" applyAlignment="1" applyProtection="1">
      <alignment horizontal="center" vertical="center"/>
      <protection locked="0"/>
    </xf>
    <xf numFmtId="0" fontId="13" fillId="0" borderId="5" xfId="0" quotePrefix="1" applyFont="1" applyBorder="1" applyAlignment="1" applyProtection="1">
      <alignment vertical="center" wrapText="1"/>
      <protection locked="0"/>
    </xf>
    <xf numFmtId="0" fontId="41" fillId="0" borderId="1" xfId="0" applyFont="1" applyBorder="1" applyAlignment="1">
      <alignment horizontal="center" vertical="center" wrapText="1"/>
    </xf>
    <xf numFmtId="0" fontId="8" fillId="4" borderId="22" xfId="0" applyFont="1" applyFill="1" applyBorder="1" applyAlignment="1">
      <alignment horizontal="center" vertical="center"/>
    </xf>
    <xf numFmtId="0" fontId="44" fillId="4" borderId="6" xfId="0" applyFont="1" applyFill="1" applyBorder="1">
      <alignment vertical="center"/>
    </xf>
    <xf numFmtId="0" fontId="44" fillId="4" borderId="4" xfId="0" applyFont="1" applyFill="1" applyBorder="1">
      <alignment vertical="center"/>
    </xf>
    <xf numFmtId="181" fontId="21" fillId="5" borderId="63" xfId="1" applyNumberFormat="1" applyFont="1" applyFill="1" applyBorder="1" applyAlignment="1" applyProtection="1">
      <alignment horizontal="center" vertical="center"/>
    </xf>
    <xf numFmtId="184" fontId="9" fillId="17" borderId="64" xfId="1" applyNumberFormat="1" applyFont="1" applyFill="1" applyBorder="1" applyAlignment="1" applyProtection="1">
      <alignment vertical="center"/>
      <protection locked="0"/>
    </xf>
    <xf numFmtId="0" fontId="8" fillId="4" borderId="7" xfId="0" applyFont="1" applyFill="1" applyBorder="1" applyAlignment="1">
      <alignment horizontal="center" vertical="center" wrapText="1"/>
    </xf>
    <xf numFmtId="181" fontId="21" fillId="5" borderId="7" xfId="1" applyNumberFormat="1" applyFont="1" applyFill="1" applyBorder="1" applyAlignment="1" applyProtection="1">
      <alignment horizontal="center" vertical="center"/>
    </xf>
    <xf numFmtId="181" fontId="9" fillId="17" borderId="64" xfId="1" applyNumberFormat="1" applyFont="1" applyFill="1" applyBorder="1" applyAlignment="1" applyProtection="1">
      <alignment vertical="center"/>
      <protection locked="0"/>
    </xf>
    <xf numFmtId="0" fontId="8" fillId="4" borderId="19" xfId="0" applyFont="1" applyFill="1" applyBorder="1" applyAlignment="1">
      <alignment horizontal="center" vertical="center" wrapText="1"/>
    </xf>
    <xf numFmtId="0" fontId="8" fillId="4" borderId="8" xfId="0" applyFont="1" applyFill="1" applyBorder="1">
      <alignment vertical="center"/>
    </xf>
    <xf numFmtId="0" fontId="8" fillId="4" borderId="0" xfId="0" applyFont="1" applyFill="1">
      <alignment vertical="center"/>
    </xf>
    <xf numFmtId="0" fontId="8" fillId="4" borderId="73" xfId="0" applyFont="1" applyFill="1" applyBorder="1">
      <alignment vertical="center"/>
    </xf>
    <xf numFmtId="0" fontId="8" fillId="4" borderId="59" xfId="0" applyFont="1" applyFill="1" applyBorder="1">
      <alignment vertical="center"/>
    </xf>
    <xf numFmtId="0" fontId="8" fillId="4" borderId="26" xfId="0" applyFont="1" applyFill="1" applyBorder="1">
      <alignment vertical="center"/>
    </xf>
    <xf numFmtId="0" fontId="8" fillId="4" borderId="2" xfId="0" applyFont="1" applyFill="1" applyBorder="1">
      <alignment vertical="center"/>
    </xf>
    <xf numFmtId="0" fontId="8" fillId="4" borderId="61" xfId="0" applyFont="1" applyFill="1" applyBorder="1">
      <alignment vertical="center"/>
    </xf>
    <xf numFmtId="0" fontId="8" fillId="4" borderId="77" xfId="0" applyFont="1" applyFill="1" applyBorder="1">
      <alignment vertical="center"/>
    </xf>
    <xf numFmtId="0" fontId="26" fillId="0" borderId="4" xfId="5" applyFont="1" applyBorder="1" applyAlignment="1">
      <alignment horizontal="left" vertical="center"/>
    </xf>
    <xf numFmtId="0" fontId="27" fillId="0" borderId="4" xfId="6" applyFont="1" applyBorder="1" applyAlignment="1">
      <alignment horizontal="left" vertical="center"/>
    </xf>
    <xf numFmtId="0" fontId="8" fillId="3" borderId="94" xfId="0" applyFont="1" applyFill="1" applyBorder="1" applyAlignment="1" applyProtection="1">
      <alignment horizontal="center" vertical="center"/>
      <protection locked="0"/>
    </xf>
    <xf numFmtId="0" fontId="8" fillId="4" borderId="93" xfId="0" applyFont="1" applyFill="1" applyBorder="1">
      <alignment vertical="center"/>
    </xf>
    <xf numFmtId="0" fontId="8" fillId="4" borderId="0" xfId="0" quotePrefix="1" applyFont="1" applyFill="1">
      <alignment vertical="center"/>
    </xf>
    <xf numFmtId="0" fontId="9" fillId="4" borderId="20" xfId="0" applyFont="1" applyFill="1" applyBorder="1">
      <alignment vertical="center"/>
    </xf>
    <xf numFmtId="0" fontId="9" fillId="4" borderId="0" xfId="0" applyFont="1" applyFill="1">
      <alignment vertical="center"/>
    </xf>
    <xf numFmtId="0" fontId="9" fillId="4" borderId="4" xfId="0" applyFont="1" applyFill="1" applyBorder="1">
      <alignment vertical="center"/>
    </xf>
    <xf numFmtId="9" fontId="9" fillId="17" borderId="64" xfId="0" applyNumberFormat="1" applyFont="1" applyFill="1" applyBorder="1" applyAlignment="1" applyProtection="1">
      <alignment horizontal="center" vertical="center"/>
      <protection locked="0"/>
    </xf>
    <xf numFmtId="0" fontId="8" fillId="0" borderId="77" xfId="0" applyFont="1" applyBorder="1">
      <alignment vertical="center"/>
    </xf>
    <xf numFmtId="0" fontId="8" fillId="17" borderId="99" xfId="0" applyFont="1" applyFill="1" applyBorder="1">
      <alignment vertical="center"/>
    </xf>
    <xf numFmtId="0" fontId="46" fillId="0" borderId="100" xfId="0" applyFont="1" applyBorder="1" applyAlignment="1">
      <alignment horizontal="center" vertical="center"/>
    </xf>
    <xf numFmtId="0" fontId="9" fillId="0" borderId="15" xfId="0" applyFont="1" applyBorder="1" applyAlignment="1">
      <alignment horizontal="left" vertical="center" wrapText="1"/>
    </xf>
    <xf numFmtId="9" fontId="9" fillId="0" borderId="15" xfId="0" applyNumberFormat="1" applyFont="1" applyBorder="1" applyAlignment="1" applyProtection="1">
      <alignment horizontal="center" vertical="center"/>
      <protection locked="0"/>
    </xf>
    <xf numFmtId="0" fontId="8" fillId="0" borderId="15" xfId="0" applyFont="1" applyBorder="1">
      <alignment vertical="center"/>
    </xf>
    <xf numFmtId="0" fontId="8" fillId="0" borderId="101" xfId="0" applyFont="1" applyBorder="1">
      <alignment vertical="center"/>
    </xf>
    <xf numFmtId="0" fontId="53" fillId="0" borderId="0" xfId="13" applyFont="1" applyAlignment="1">
      <alignment vertical="center"/>
    </xf>
    <xf numFmtId="0" fontId="53" fillId="0" borderId="0" xfId="13" applyFont="1" applyAlignment="1">
      <alignment horizontal="center" vertical="center"/>
    </xf>
    <xf numFmtId="0" fontId="53" fillId="0" borderId="0" xfId="13" applyFont="1" applyAlignment="1">
      <alignment horizontal="center" vertical="center" wrapText="1"/>
    </xf>
    <xf numFmtId="0" fontId="54" fillId="0" borderId="0" xfId="13" applyFont="1" applyAlignment="1">
      <alignment horizontal="left" vertical="center"/>
    </xf>
    <xf numFmtId="0" fontId="55" fillId="0" borderId="0" xfId="13" applyFont="1" applyAlignment="1">
      <alignment horizontal="center" vertical="center"/>
    </xf>
    <xf numFmtId="0" fontId="56" fillId="0" borderId="0" xfId="13" applyFont="1" applyAlignment="1">
      <alignment horizontal="center" vertical="center"/>
    </xf>
    <xf numFmtId="0" fontId="56" fillId="4" borderId="102" xfId="13" applyFont="1" applyFill="1" applyBorder="1" applyAlignment="1">
      <alignment horizontal="center" vertical="center"/>
    </xf>
    <xf numFmtId="0" fontId="57" fillId="4" borderId="103" xfId="13" applyFont="1" applyFill="1" applyBorder="1" applyAlignment="1">
      <alignment horizontal="center" vertical="center" wrapText="1"/>
    </xf>
    <xf numFmtId="0" fontId="57" fillId="4" borderId="47" xfId="13" applyFont="1" applyFill="1" applyBorder="1" applyAlignment="1">
      <alignment horizontal="center" vertical="center" wrapText="1"/>
    </xf>
    <xf numFmtId="0" fontId="57" fillId="4" borderId="47" xfId="13" applyFont="1" applyFill="1" applyBorder="1" applyAlignment="1">
      <alignment horizontal="center" vertical="center" wrapText="1" shrinkToFit="1"/>
    </xf>
    <xf numFmtId="0" fontId="56" fillId="4" borderId="47" xfId="13" applyFont="1" applyFill="1" applyBorder="1" applyAlignment="1">
      <alignment horizontal="center" vertical="center" wrapText="1" shrinkToFit="1"/>
    </xf>
    <xf numFmtId="0" fontId="58" fillId="4" borderId="47" xfId="13" applyFont="1" applyFill="1" applyBorder="1" applyAlignment="1">
      <alignment horizontal="center" vertical="center" wrapText="1"/>
    </xf>
    <xf numFmtId="0" fontId="56" fillId="0" borderId="0" xfId="13" applyFont="1" applyAlignment="1">
      <alignment horizontal="left" vertical="center"/>
    </xf>
    <xf numFmtId="0" fontId="59" fillId="0" borderId="0" xfId="13" applyFont="1" applyAlignment="1">
      <alignment horizontal="center" vertical="center"/>
    </xf>
    <xf numFmtId="0" fontId="60" fillId="18" borderId="1" xfId="13" applyFont="1" applyFill="1" applyBorder="1" applyAlignment="1">
      <alignment horizontal="center" vertical="center"/>
    </xf>
    <xf numFmtId="0" fontId="57" fillId="0" borderId="0" xfId="13" applyFont="1" applyAlignment="1">
      <alignment horizontal="right" vertical="center"/>
    </xf>
    <xf numFmtId="0" fontId="56" fillId="4" borderId="104" xfId="13" applyFont="1" applyFill="1" applyBorder="1" applyAlignment="1">
      <alignment horizontal="center" vertical="center"/>
    </xf>
    <xf numFmtId="0" fontId="57" fillId="4" borderId="105" xfId="13" applyFont="1" applyFill="1" applyBorder="1" applyAlignment="1">
      <alignment horizontal="center" vertical="center"/>
    </xf>
    <xf numFmtId="0" fontId="57" fillId="4" borderId="3" xfId="13" applyFont="1" applyFill="1" applyBorder="1" applyAlignment="1">
      <alignment horizontal="center" vertical="center"/>
    </xf>
    <xf numFmtId="0" fontId="57" fillId="4" borderId="54" xfId="13" applyFont="1" applyFill="1" applyBorder="1" applyAlignment="1">
      <alignment horizontal="center" vertical="center"/>
    </xf>
    <xf numFmtId="0" fontId="57" fillId="4" borderId="62" xfId="13" applyFont="1" applyFill="1" applyBorder="1" applyAlignment="1">
      <alignment horizontal="left" vertical="center"/>
    </xf>
    <xf numFmtId="0" fontId="60" fillId="0" borderId="1" xfId="13" applyFont="1" applyBorder="1" applyAlignment="1">
      <alignment horizontal="center" vertical="center"/>
    </xf>
    <xf numFmtId="0" fontId="57" fillId="0" borderId="0" xfId="13" applyFont="1" applyAlignment="1">
      <alignment horizontal="center" vertical="center"/>
    </xf>
    <xf numFmtId="0" fontId="56" fillId="4" borderId="108" xfId="2" applyNumberFormat="1" applyFont="1" applyFill="1" applyBorder="1" applyAlignment="1" applyProtection="1">
      <alignment horizontal="center" vertical="center"/>
    </xf>
    <xf numFmtId="0" fontId="57" fillId="4" borderId="42" xfId="13" applyFont="1" applyFill="1" applyBorder="1" applyAlignment="1">
      <alignment horizontal="center" vertical="center"/>
    </xf>
    <xf numFmtId="0" fontId="57" fillId="4" borderId="2" xfId="13" applyFont="1" applyFill="1" applyBorder="1" applyAlignment="1">
      <alignment horizontal="center" vertical="center" shrinkToFit="1"/>
    </xf>
    <xf numFmtId="1" fontId="57" fillId="4" borderId="2" xfId="2" applyNumberFormat="1" applyFont="1" applyFill="1" applyBorder="1" applyAlignment="1" applyProtection="1">
      <alignment horizontal="center" vertical="center"/>
    </xf>
    <xf numFmtId="1" fontId="56" fillId="19" borderId="2" xfId="13" applyNumberFormat="1" applyFont="1" applyFill="1" applyBorder="1" applyAlignment="1">
      <alignment horizontal="center" vertical="center"/>
    </xf>
    <xf numFmtId="1" fontId="57" fillId="4" borderId="2" xfId="2" applyNumberFormat="1" applyFont="1" applyFill="1" applyBorder="1" applyAlignment="1" applyProtection="1">
      <alignment horizontal="left" vertical="center"/>
    </xf>
    <xf numFmtId="0" fontId="56" fillId="0" borderId="109" xfId="13" applyFont="1" applyBorder="1" applyAlignment="1">
      <alignment horizontal="left" vertical="center"/>
    </xf>
    <xf numFmtId="0" fontId="59" fillId="0" borderId="109" xfId="13" applyFont="1" applyBorder="1" applyAlignment="1">
      <alignment horizontal="center" vertical="center"/>
    </xf>
    <xf numFmtId="0" fontId="61" fillId="0" borderId="109" xfId="13" applyFont="1" applyBorder="1" applyAlignment="1">
      <alignment horizontal="center" vertical="center"/>
    </xf>
    <xf numFmtId="0" fontId="56" fillId="0" borderId="110" xfId="13" applyFont="1" applyBorder="1" applyAlignment="1">
      <alignment horizontal="center" vertical="center"/>
    </xf>
    <xf numFmtId="9" fontId="57" fillId="4" borderId="1" xfId="2" applyFont="1" applyFill="1" applyBorder="1" applyAlignment="1" applyProtection="1">
      <alignment horizontal="center" vertical="center"/>
    </xf>
    <xf numFmtId="9" fontId="57" fillId="4" borderId="4" xfId="13" applyNumberFormat="1" applyFont="1" applyFill="1" applyBorder="1" applyAlignment="1">
      <alignment horizontal="center" vertical="center"/>
    </xf>
    <xf numFmtId="1" fontId="56" fillId="19" borderId="1" xfId="13" applyNumberFormat="1" applyFont="1" applyFill="1" applyBorder="1" applyAlignment="1">
      <alignment horizontal="center" vertical="center" shrinkToFit="1"/>
    </xf>
    <xf numFmtId="0" fontId="56" fillId="3" borderId="1" xfId="13" applyFont="1" applyFill="1" applyBorder="1" applyAlignment="1">
      <alignment horizontal="center" vertical="center"/>
    </xf>
    <xf numFmtId="0" fontId="57" fillId="4" borderId="4" xfId="13" applyFont="1" applyFill="1" applyBorder="1" applyAlignment="1">
      <alignment horizontal="left" vertical="center"/>
    </xf>
    <xf numFmtId="9" fontId="57" fillId="4" borderId="111" xfId="2" applyFont="1" applyFill="1" applyBorder="1" applyAlignment="1" applyProtection="1">
      <alignment horizontal="center" vertical="center"/>
    </xf>
    <xf numFmtId="0" fontId="57" fillId="4" borderId="111" xfId="13" applyFont="1" applyFill="1" applyBorder="1" applyAlignment="1">
      <alignment horizontal="center" vertical="center"/>
    </xf>
    <xf numFmtId="0" fontId="57" fillId="4" borderId="111" xfId="13" applyFont="1" applyFill="1" applyBorder="1" applyAlignment="1">
      <alignment horizontal="center" vertical="center" shrinkToFit="1"/>
    </xf>
    <xf numFmtId="1" fontId="57" fillId="4" borderId="111" xfId="2" applyNumberFormat="1" applyFont="1" applyFill="1" applyBorder="1" applyAlignment="1" applyProtection="1">
      <alignment horizontal="center" vertical="center"/>
    </xf>
    <xf numFmtId="1" fontId="57" fillId="5" borderId="111" xfId="2" applyNumberFormat="1" applyFont="1" applyFill="1" applyBorder="1" applyAlignment="1" applyProtection="1">
      <alignment horizontal="center" vertical="center"/>
    </xf>
    <xf numFmtId="0" fontId="56" fillId="5" borderId="111" xfId="13" applyFont="1" applyFill="1" applyBorder="1" applyAlignment="1">
      <alignment horizontal="center" vertical="center"/>
    </xf>
    <xf numFmtId="0" fontId="57" fillId="5" borderId="111" xfId="13" applyFont="1" applyFill="1" applyBorder="1" applyAlignment="1">
      <alignment horizontal="center" vertical="center"/>
    </xf>
    <xf numFmtId="9" fontId="57" fillId="5" borderId="1" xfId="2" applyFont="1" applyFill="1" applyBorder="1" applyAlignment="1" applyProtection="1">
      <alignment horizontal="center" vertical="center"/>
    </xf>
    <xf numFmtId="9" fontId="62" fillId="5" borderId="1" xfId="2" applyFont="1" applyFill="1" applyBorder="1" applyAlignment="1" applyProtection="1">
      <alignment horizontal="left" vertical="center"/>
    </xf>
    <xf numFmtId="9" fontId="63" fillId="5" borderId="1" xfId="2" applyFont="1" applyFill="1" applyBorder="1" applyAlignment="1" applyProtection="1">
      <alignment horizontal="left" vertical="center"/>
    </xf>
    <xf numFmtId="0" fontId="57" fillId="5" borderId="1" xfId="13" applyFont="1" applyFill="1" applyBorder="1" applyAlignment="1">
      <alignment horizontal="center" vertical="center"/>
    </xf>
    <xf numFmtId="1" fontId="64" fillId="5" borderId="1" xfId="2" applyNumberFormat="1" applyFont="1" applyFill="1" applyBorder="1" applyAlignment="1" applyProtection="1">
      <alignment horizontal="center" vertical="center"/>
    </xf>
    <xf numFmtId="0" fontId="59" fillId="0" borderId="8" xfId="13" applyFont="1" applyBorder="1" applyAlignment="1">
      <alignment horizontal="center" vertical="center"/>
    </xf>
    <xf numFmtId="0" fontId="56" fillId="4" borderId="42" xfId="13" applyFont="1" applyFill="1" applyBorder="1" applyAlignment="1">
      <alignment vertical="center" wrapText="1"/>
    </xf>
    <xf numFmtId="0" fontId="56" fillId="4" borderId="62" xfId="13" applyFont="1" applyFill="1" applyBorder="1" applyAlignment="1">
      <alignment vertical="center" wrapText="1"/>
    </xf>
    <xf numFmtId="0" fontId="56" fillId="20" borderId="1" xfId="13" applyFont="1" applyFill="1" applyBorder="1" applyAlignment="1">
      <alignment horizontal="center" vertical="center" wrapText="1"/>
    </xf>
    <xf numFmtId="0" fontId="56" fillId="4" borderId="54" xfId="13" applyFont="1" applyFill="1" applyBorder="1" applyAlignment="1">
      <alignment vertical="center" wrapText="1"/>
    </xf>
    <xf numFmtId="0" fontId="56" fillId="4" borderId="105" xfId="13" applyFont="1" applyFill="1" applyBorder="1" applyAlignment="1">
      <alignment vertical="center" wrapText="1"/>
    </xf>
    <xf numFmtId="182" fontId="56" fillId="20" borderId="2" xfId="13" applyNumberFormat="1" applyFont="1" applyFill="1" applyBorder="1" applyAlignment="1">
      <alignment horizontal="center" vertical="center" wrapText="1"/>
    </xf>
    <xf numFmtId="182" fontId="56" fillId="19" borderId="2" xfId="13" applyNumberFormat="1" applyFont="1" applyFill="1" applyBorder="1" applyAlignment="1">
      <alignment horizontal="center" vertical="center" wrapText="1"/>
    </xf>
    <xf numFmtId="182" fontId="56" fillId="19" borderId="2" xfId="13" applyNumberFormat="1" applyFont="1" applyFill="1" applyBorder="1" applyAlignment="1">
      <alignment horizontal="center" vertical="center"/>
    </xf>
    <xf numFmtId="0" fontId="56" fillId="4" borderId="2" xfId="13" applyFont="1" applyFill="1" applyBorder="1" applyAlignment="1">
      <alignment horizontal="center" vertical="center" wrapText="1"/>
    </xf>
    <xf numFmtId="0" fontId="63" fillId="4" borderId="5" xfId="13" applyFont="1" applyFill="1" applyBorder="1" applyAlignment="1">
      <alignment horizontal="right" vertical="center"/>
    </xf>
    <xf numFmtId="0" fontId="31" fillId="4" borderId="1" xfId="14" applyFont="1" applyFill="1" applyBorder="1" applyAlignment="1">
      <alignment horizontal="center" vertical="center" wrapText="1"/>
    </xf>
    <xf numFmtId="0" fontId="57" fillId="20" borderId="1" xfId="13" quotePrefix="1" applyFont="1" applyFill="1" applyBorder="1" applyAlignment="1">
      <alignment horizontal="center" vertical="center"/>
    </xf>
    <xf numFmtId="0" fontId="57" fillId="20" borderId="1" xfId="13" quotePrefix="1" applyFont="1" applyFill="1" applyBorder="1" applyAlignment="1">
      <alignment horizontal="center" vertical="center" shrinkToFit="1"/>
    </xf>
    <xf numFmtId="0" fontId="60" fillId="20" borderId="1" xfId="13" quotePrefix="1" applyFont="1" applyFill="1" applyBorder="1" applyAlignment="1">
      <alignment horizontal="center" vertical="center" shrinkToFit="1"/>
    </xf>
    <xf numFmtId="185" fontId="70" fillId="4" borderId="1" xfId="13" applyNumberFormat="1" applyFont="1" applyFill="1" applyBorder="1" applyAlignment="1">
      <alignment horizontal="right" vertical="center" shrinkToFit="1"/>
    </xf>
    <xf numFmtId="0" fontId="63" fillId="4" borderId="4" xfId="13" applyFont="1" applyFill="1" applyBorder="1" applyAlignment="1">
      <alignment horizontal="center" vertical="center"/>
    </xf>
    <xf numFmtId="0" fontId="63" fillId="4" borderId="41" xfId="13" applyFont="1" applyFill="1" applyBorder="1" applyAlignment="1">
      <alignment horizontal="right" vertical="center"/>
    </xf>
    <xf numFmtId="0" fontId="31" fillId="4" borderId="3" xfId="14" applyFont="1" applyFill="1" applyBorder="1" applyAlignment="1">
      <alignment horizontal="center" vertical="center" wrapText="1"/>
    </xf>
    <xf numFmtId="0" fontId="57" fillId="19" borderId="2" xfId="13" quotePrefix="1" applyFont="1" applyFill="1" applyBorder="1" applyAlignment="1">
      <alignment horizontal="center" vertical="center" shrinkToFit="1"/>
    </xf>
    <xf numFmtId="0" fontId="60" fillId="19" borderId="2" xfId="13" quotePrefix="1" applyFont="1" applyFill="1" applyBorder="1" applyAlignment="1">
      <alignment horizontal="center" vertical="center" shrinkToFit="1"/>
    </xf>
    <xf numFmtId="185" fontId="70" fillId="4" borderId="107" xfId="13" applyNumberFormat="1" applyFont="1" applyFill="1" applyBorder="1" applyAlignment="1">
      <alignment horizontal="right" vertical="center" shrinkToFit="1"/>
    </xf>
    <xf numFmtId="0" fontId="63" fillId="4" borderId="42" xfId="13" applyFont="1" applyFill="1" applyBorder="1" applyAlignment="1">
      <alignment horizontal="center" vertical="center"/>
    </xf>
    <xf numFmtId="0" fontId="72" fillId="22" borderId="1" xfId="0" applyFont="1" applyFill="1" applyBorder="1">
      <alignment vertical="center"/>
    </xf>
    <xf numFmtId="0" fontId="74" fillId="22" borderId="1" xfId="14" applyFont="1" applyFill="1" applyBorder="1" applyAlignment="1">
      <alignment horizontal="center" vertical="center" wrapText="1"/>
    </xf>
    <xf numFmtId="0" fontId="74" fillId="22" borderId="1" xfId="0" applyFont="1" applyFill="1" applyBorder="1">
      <alignment vertical="center"/>
    </xf>
    <xf numFmtId="0" fontId="74" fillId="22" borderId="1" xfId="0" applyFont="1" applyFill="1" applyBorder="1" applyAlignment="1">
      <alignment vertical="center" wrapText="1"/>
    </xf>
    <xf numFmtId="0" fontId="31" fillId="0" borderId="0" xfId="13" applyFont="1" applyAlignment="1">
      <alignment vertical="center" wrapText="1"/>
    </xf>
    <xf numFmtId="0" fontId="73" fillId="22" borderId="1" xfId="0" applyFont="1" applyFill="1" applyBorder="1" applyAlignment="1">
      <alignment horizontal="center" vertical="center"/>
    </xf>
    <xf numFmtId="0" fontId="75" fillId="22" borderId="5" xfId="0" applyFont="1" applyFill="1" applyBorder="1" applyAlignment="1">
      <alignment horizontal="right" vertical="center" wrapText="1"/>
    </xf>
    <xf numFmtId="0" fontId="74" fillId="22" borderId="99" xfId="14" applyFont="1" applyFill="1" applyBorder="1" applyAlignment="1">
      <alignment horizontal="center" vertical="center" wrapText="1"/>
    </xf>
    <xf numFmtId="185" fontId="77" fillId="22" borderId="99" xfId="13" quotePrefix="1" applyNumberFormat="1" applyFont="1" applyFill="1" applyBorder="1" applyAlignment="1">
      <alignment horizontal="right" vertical="center" shrinkToFit="1"/>
    </xf>
    <xf numFmtId="0" fontId="78" fillId="22" borderId="4" xfId="14" applyFont="1" applyFill="1" applyBorder="1" applyAlignment="1">
      <alignment horizontal="center" vertical="center" wrapText="1"/>
    </xf>
    <xf numFmtId="0" fontId="79" fillId="23" borderId="1" xfId="13" applyFont="1" applyFill="1" applyBorder="1" applyAlignment="1" applyProtection="1">
      <alignment horizontal="center" vertical="center" wrapText="1"/>
      <protection locked="0"/>
    </xf>
    <xf numFmtId="0" fontId="31" fillId="0" borderId="3" xfId="14" applyFont="1" applyBorder="1" applyAlignment="1" applyProtection="1">
      <alignment horizontal="center" vertical="center" wrapText="1"/>
      <protection locked="0"/>
    </xf>
    <xf numFmtId="0" fontId="31" fillId="0" borderId="0" xfId="13" applyFont="1" applyAlignment="1" applyProtection="1">
      <alignment vertical="center" wrapText="1"/>
      <protection locked="0"/>
    </xf>
    <xf numFmtId="0" fontId="56" fillId="24" borderId="1" xfId="13" applyFont="1" applyFill="1" applyBorder="1" applyAlignment="1">
      <alignment horizontal="center" vertical="center" wrapText="1"/>
    </xf>
    <xf numFmtId="0" fontId="56" fillId="4" borderId="1" xfId="13" applyFont="1" applyFill="1" applyBorder="1" applyAlignment="1">
      <alignment horizontal="center" vertical="center" wrapText="1"/>
    </xf>
    <xf numFmtId="0" fontId="24" fillId="0" borderId="1" xfId="0" applyFont="1" applyBorder="1" applyAlignment="1" applyProtection="1">
      <alignment horizontal="center" vertical="center"/>
      <protection locked="0"/>
    </xf>
    <xf numFmtId="0" fontId="8" fillId="0" borderId="1" xfId="13" applyFont="1" applyBorder="1" applyAlignment="1" applyProtection="1">
      <alignment horizontal="left" vertical="center" wrapText="1"/>
      <protection locked="0"/>
    </xf>
    <xf numFmtId="0" fontId="31" fillId="0" borderId="1" xfId="14" applyFont="1" applyBorder="1" applyAlignment="1" applyProtection="1">
      <alignment horizontal="center" vertical="center" wrapText="1"/>
      <protection locked="0"/>
    </xf>
    <xf numFmtId="185" fontId="70" fillId="5" borderId="1" xfId="13" applyNumberFormat="1" applyFont="1" applyFill="1" applyBorder="1" applyAlignment="1" applyProtection="1">
      <alignment horizontal="right" vertical="center" shrinkToFit="1"/>
      <protection locked="0"/>
    </xf>
    <xf numFmtId="0" fontId="31" fillId="0" borderId="1" xfId="13" applyFont="1" applyBorder="1" applyAlignment="1" applyProtection="1">
      <alignment horizontal="center" vertical="center" wrapText="1"/>
      <protection locked="0"/>
    </xf>
    <xf numFmtId="0" fontId="24" fillId="0" borderId="1" xfId="0" applyFont="1" applyBorder="1" applyProtection="1">
      <alignment vertical="center"/>
      <protection locked="0"/>
    </xf>
    <xf numFmtId="0" fontId="8" fillId="13" borderId="1" xfId="0" applyFont="1" applyFill="1" applyBorder="1" applyProtection="1">
      <alignment vertical="center"/>
      <protection locked="0"/>
    </xf>
    <xf numFmtId="0" fontId="31" fillId="16" borderId="1" xfId="13" applyFont="1" applyFill="1" applyBorder="1" applyAlignment="1" applyProtection="1">
      <alignment horizontal="center" vertical="center" wrapText="1"/>
      <protection locked="0"/>
    </xf>
    <xf numFmtId="0" fontId="24" fillId="13" borderId="1" xfId="0" applyFont="1" applyFill="1" applyBorder="1" applyAlignment="1" applyProtection="1">
      <alignment vertical="center" wrapText="1"/>
      <protection locked="0"/>
    </xf>
    <xf numFmtId="0" fontId="8" fillId="13" borderId="1" xfId="13" applyFont="1" applyFill="1" applyBorder="1" applyAlignment="1" applyProtection="1">
      <alignment horizontal="left" vertical="center" wrapText="1"/>
      <protection locked="0"/>
    </xf>
    <xf numFmtId="0" fontId="33" fillId="0" borderId="1" xfId="14" applyFont="1" applyBorder="1" applyAlignment="1" applyProtection="1">
      <alignment horizontal="center" vertical="center" wrapText="1"/>
      <protection locked="0"/>
    </xf>
    <xf numFmtId="0" fontId="16" fillId="0" borderId="1" xfId="15" applyFont="1" applyBorder="1" applyAlignment="1" applyProtection="1">
      <alignment vertical="center" wrapText="1"/>
      <protection locked="0"/>
    </xf>
    <xf numFmtId="0" fontId="33" fillId="0" borderId="3" xfId="14" applyFont="1" applyBorder="1" applyAlignment="1" applyProtection="1">
      <alignment horizontal="center" vertical="center" wrapText="1"/>
      <protection locked="0"/>
    </xf>
    <xf numFmtId="0" fontId="33" fillId="0" borderId="1" xfId="13" applyFont="1" applyBorder="1" applyAlignment="1" applyProtection="1">
      <alignment horizontal="left" vertical="center" wrapText="1"/>
      <protection locked="0"/>
    </xf>
    <xf numFmtId="0" fontId="83" fillId="22" borderId="1" xfId="14" applyFont="1" applyFill="1" applyBorder="1" applyAlignment="1">
      <alignment horizontal="center" vertical="center" wrapText="1"/>
    </xf>
    <xf numFmtId="0" fontId="85" fillId="0" borderId="0" xfId="0" applyFont="1">
      <alignment vertical="center"/>
    </xf>
    <xf numFmtId="0" fontId="86" fillId="0" borderId="0" xfId="13" applyFont="1" applyAlignment="1">
      <alignment horizontal="center" vertical="center"/>
    </xf>
    <xf numFmtId="0" fontId="70" fillId="0" borderId="0" xfId="13" applyFont="1" applyAlignment="1">
      <alignment horizontal="center" vertical="center"/>
    </xf>
    <xf numFmtId="0" fontId="70" fillId="0" borderId="0" xfId="13" applyFont="1" applyAlignment="1">
      <alignment vertical="center"/>
    </xf>
    <xf numFmtId="0" fontId="70" fillId="0" borderId="0" xfId="0" applyFont="1">
      <alignment vertical="center"/>
    </xf>
    <xf numFmtId="0" fontId="89" fillId="0" borderId="0" xfId="0" applyFont="1">
      <alignment vertical="center"/>
    </xf>
    <xf numFmtId="0" fontId="70" fillId="0" borderId="0" xfId="0" applyFont="1" applyAlignment="1">
      <alignment horizontal="center" vertical="center"/>
    </xf>
    <xf numFmtId="0" fontId="66" fillId="0" borderId="0" xfId="0" applyFont="1">
      <alignment vertical="center"/>
    </xf>
    <xf numFmtId="0" fontId="90" fillId="0" borderId="0" xfId="0" applyFont="1">
      <alignment vertical="center"/>
    </xf>
    <xf numFmtId="186" fontId="91" fillId="4" borderId="1" xfId="0" applyNumberFormat="1" applyFont="1" applyFill="1" applyBorder="1">
      <alignment vertical="center"/>
    </xf>
    <xf numFmtId="0" fontId="57" fillId="0" borderId="0" xfId="0" applyFont="1" applyAlignment="1">
      <alignment horizontal="center" vertical="center"/>
    </xf>
    <xf numFmtId="0" fontId="57" fillId="4" borderId="1" xfId="0" applyFont="1" applyFill="1" applyBorder="1" applyAlignment="1">
      <alignment horizontal="center" vertical="center"/>
    </xf>
    <xf numFmtId="0" fontId="70" fillId="28" borderId="1" xfId="0" applyFont="1" applyFill="1" applyBorder="1" applyAlignment="1">
      <alignment horizontal="center" vertical="center"/>
    </xf>
    <xf numFmtId="41" fontId="66" fillId="3" borderId="1" xfId="1" applyFont="1" applyFill="1" applyBorder="1" applyAlignment="1" applyProtection="1">
      <alignment vertical="center"/>
    </xf>
    <xf numFmtId="41" fontId="70" fillId="16" borderId="1" xfId="1" applyFont="1" applyFill="1" applyBorder="1" applyAlignment="1" applyProtection="1">
      <alignment vertical="center"/>
    </xf>
    <xf numFmtId="41" fontId="70" fillId="0" borderId="0" xfId="0" applyNumberFormat="1" applyFont="1">
      <alignment vertical="center"/>
    </xf>
    <xf numFmtId="0" fontId="66" fillId="28" borderId="1" xfId="0" applyFont="1" applyFill="1" applyBorder="1" applyAlignment="1">
      <alignment horizontal="center" vertical="center"/>
    </xf>
    <xf numFmtId="41" fontId="66" fillId="16" borderId="1" xfId="1" applyFont="1" applyFill="1" applyBorder="1" applyAlignment="1" applyProtection="1">
      <alignment vertical="center"/>
    </xf>
    <xf numFmtId="187" fontId="91" fillId="4" borderId="1" xfId="0" applyNumberFormat="1" applyFont="1" applyFill="1" applyBorder="1">
      <alignment vertical="center"/>
    </xf>
    <xf numFmtId="0" fontId="92" fillId="0" borderId="0" xfId="0" applyFont="1">
      <alignment vertical="center"/>
    </xf>
    <xf numFmtId="0" fontId="56" fillId="4" borderId="1" xfId="0" applyFont="1" applyFill="1" applyBorder="1" applyAlignment="1">
      <alignment horizontal="center" vertical="center"/>
    </xf>
    <xf numFmtId="0" fontId="56" fillId="4" borderId="122" xfId="0" applyFont="1" applyFill="1" applyBorder="1" applyAlignment="1">
      <alignment horizontal="center" vertical="center"/>
    </xf>
    <xf numFmtId="0" fontId="85" fillId="4" borderId="3" xfId="12" applyFont="1" applyFill="1" applyBorder="1" applyAlignment="1" applyProtection="1">
      <alignment horizontal="center" vertical="center" wrapText="1"/>
    </xf>
    <xf numFmtId="182" fontId="85" fillId="4" borderId="3" xfId="12" applyNumberFormat="1" applyFont="1" applyFill="1" applyBorder="1" applyAlignment="1" applyProtection="1">
      <alignment horizontal="center" vertical="center"/>
    </xf>
    <xf numFmtId="182" fontId="85" fillId="4" borderId="123" xfId="12" applyNumberFormat="1" applyFont="1" applyFill="1" applyBorder="1" applyAlignment="1" applyProtection="1">
      <alignment horizontal="center" vertical="center"/>
    </xf>
    <xf numFmtId="182" fontId="85" fillId="4" borderId="105" xfId="12" applyNumberFormat="1" applyFont="1" applyFill="1" applyBorder="1" applyAlignment="1" applyProtection="1">
      <alignment horizontal="center" vertical="center"/>
    </xf>
    <xf numFmtId="188" fontId="92" fillId="3" borderId="1" xfId="1" applyNumberFormat="1" applyFont="1" applyFill="1" applyBorder="1" applyAlignment="1" applyProtection="1">
      <alignment vertical="center"/>
    </xf>
    <xf numFmtId="188" fontId="92" fillId="16" borderId="5" xfId="1" applyNumberFormat="1" applyFont="1" applyFill="1" applyBorder="1" applyAlignment="1" applyProtection="1">
      <alignment vertical="center"/>
    </xf>
    <xf numFmtId="188" fontId="92" fillId="16" borderId="37" xfId="1" applyNumberFormat="1" applyFont="1" applyFill="1" applyBorder="1" applyAlignment="1" applyProtection="1">
      <alignment vertical="center"/>
    </xf>
    <xf numFmtId="188" fontId="85" fillId="16" borderId="1" xfId="1" applyNumberFormat="1" applyFont="1" applyFill="1" applyBorder="1" applyAlignment="1" applyProtection="1">
      <alignment vertical="center"/>
    </xf>
    <xf numFmtId="188" fontId="66" fillId="3" borderId="1" xfId="1" applyNumberFormat="1" applyFont="1" applyFill="1" applyBorder="1" applyAlignment="1" applyProtection="1">
      <alignment vertical="center"/>
    </xf>
    <xf numFmtId="188" fontId="66" fillId="16" borderId="5" xfId="1" applyNumberFormat="1" applyFont="1" applyFill="1" applyBorder="1" applyAlignment="1" applyProtection="1">
      <alignment vertical="center"/>
    </xf>
    <xf numFmtId="188" fontId="66" fillId="16" borderId="37" xfId="1" applyNumberFormat="1" applyFont="1" applyFill="1" applyBorder="1" applyAlignment="1" applyProtection="1">
      <alignment vertical="center"/>
    </xf>
    <xf numFmtId="188" fontId="66" fillId="16" borderId="1" xfId="1" applyNumberFormat="1" applyFont="1" applyFill="1" applyBorder="1" applyAlignment="1" applyProtection="1">
      <alignment vertical="center"/>
    </xf>
    <xf numFmtId="188" fontId="66" fillId="16" borderId="122" xfId="1" applyNumberFormat="1" applyFont="1" applyFill="1" applyBorder="1" applyAlignment="1" applyProtection="1">
      <alignment vertical="center"/>
    </xf>
    <xf numFmtId="188" fontId="66" fillId="16" borderId="4" xfId="1" applyNumberFormat="1" applyFont="1" applyFill="1" applyBorder="1" applyAlignment="1" applyProtection="1">
      <alignment vertical="center"/>
    </xf>
    <xf numFmtId="0" fontId="91" fillId="28" borderId="1" xfId="0" applyFont="1" applyFill="1" applyBorder="1" applyAlignment="1">
      <alignment horizontal="center" vertical="center"/>
    </xf>
    <xf numFmtId="9" fontId="91" fillId="3" borderId="1" xfId="2" applyFont="1" applyFill="1" applyBorder="1" applyAlignment="1" applyProtection="1">
      <alignment horizontal="center" vertical="center"/>
    </xf>
    <xf numFmtId="0" fontId="93" fillId="0" borderId="0" xfId="0" applyFont="1" applyAlignment="1">
      <alignment horizontal="center" vertical="center"/>
    </xf>
    <xf numFmtId="0" fontId="94" fillId="0" borderId="0" xfId="0" applyFont="1">
      <alignment vertical="center"/>
    </xf>
    <xf numFmtId="0" fontId="94" fillId="0" borderId="0" xfId="0" applyFont="1" applyAlignment="1">
      <alignment horizontal="center" vertical="center"/>
    </xf>
    <xf numFmtId="0" fontId="85" fillId="28" borderId="1" xfId="12" applyFont="1" applyFill="1" applyBorder="1" applyAlignment="1" applyProtection="1">
      <alignment horizontal="center" vertical="center" wrapText="1"/>
    </xf>
    <xf numFmtId="9" fontId="95" fillId="3" borderId="1" xfId="12" applyNumberFormat="1" applyFont="1" applyFill="1" applyBorder="1" applyAlignment="1" applyProtection="1">
      <alignment horizontal="right" vertical="center"/>
    </xf>
    <xf numFmtId="0" fontId="85" fillId="16" borderId="5" xfId="12" applyFont="1" applyFill="1" applyBorder="1" applyAlignment="1" applyProtection="1">
      <alignment horizontal="right" vertical="center"/>
    </xf>
    <xf numFmtId="10" fontId="85" fillId="16" borderId="37" xfId="2" applyNumberFormat="1" applyFont="1" applyFill="1" applyBorder="1" applyAlignment="1" applyProtection="1">
      <alignment horizontal="right" vertical="center"/>
    </xf>
    <xf numFmtId="9" fontId="85" fillId="16" borderId="1" xfId="2" applyFont="1" applyFill="1" applyBorder="1" applyAlignment="1" applyProtection="1">
      <alignment horizontal="right" vertical="center"/>
    </xf>
    <xf numFmtId="9" fontId="85" fillId="16" borderId="122" xfId="2" applyFont="1" applyFill="1" applyBorder="1" applyAlignment="1" applyProtection="1">
      <alignment horizontal="right" vertical="center"/>
    </xf>
    <xf numFmtId="9" fontId="85" fillId="16" borderId="4" xfId="2" applyFont="1" applyFill="1" applyBorder="1" applyAlignment="1" applyProtection="1">
      <alignment horizontal="right" vertical="center"/>
    </xf>
    <xf numFmtId="41" fontId="92" fillId="3" borderId="1" xfId="1" applyFont="1" applyFill="1" applyBorder="1" applyAlignment="1" applyProtection="1">
      <alignment vertical="center"/>
    </xf>
    <xf numFmtId="41" fontId="92" fillId="16" borderId="5" xfId="1" applyFont="1" applyFill="1" applyBorder="1" applyAlignment="1" applyProtection="1">
      <alignment vertical="center"/>
    </xf>
    <xf numFmtId="41" fontId="92" fillId="16" borderId="37" xfId="1" applyFont="1" applyFill="1" applyBorder="1" applyAlignment="1" applyProtection="1">
      <alignment vertical="center"/>
    </xf>
    <xf numFmtId="41" fontId="85" fillId="16" borderId="1" xfId="1" applyFont="1" applyFill="1" applyBorder="1" applyAlignment="1" applyProtection="1">
      <alignment vertical="center"/>
    </xf>
    <xf numFmtId="41" fontId="85" fillId="16" borderId="122" xfId="1" applyFont="1" applyFill="1" applyBorder="1" applyAlignment="1" applyProtection="1">
      <alignment vertical="center"/>
    </xf>
    <xf numFmtId="41" fontId="85" fillId="16" borderId="4" xfId="1" applyFont="1" applyFill="1" applyBorder="1" applyAlignment="1" applyProtection="1">
      <alignment vertical="center"/>
    </xf>
    <xf numFmtId="189" fontId="66" fillId="19" borderId="1" xfId="1" applyNumberFormat="1" applyFont="1" applyFill="1" applyBorder="1" applyAlignment="1" applyProtection="1">
      <alignment vertical="center"/>
    </xf>
    <xf numFmtId="41" fontId="66" fillId="16" borderId="5" xfId="1" applyFont="1" applyFill="1" applyBorder="1" applyAlignment="1" applyProtection="1">
      <alignment vertical="center"/>
    </xf>
    <xf numFmtId="41" fontId="66" fillId="16" borderId="37" xfId="1" applyFont="1" applyFill="1" applyBorder="1" applyAlignment="1" applyProtection="1">
      <alignment vertical="center"/>
    </xf>
    <xf numFmtId="41" fontId="66" fillId="16" borderId="122" xfId="1" applyFont="1" applyFill="1" applyBorder="1" applyAlignment="1" applyProtection="1">
      <alignment vertical="center"/>
    </xf>
    <xf numFmtId="41" fontId="66" fillId="16" borderId="4" xfId="1" applyFont="1" applyFill="1" applyBorder="1" applyAlignment="1" applyProtection="1">
      <alignment vertical="center"/>
    </xf>
    <xf numFmtId="182" fontId="85" fillId="4" borderId="28" xfId="12" applyNumberFormat="1" applyFont="1" applyFill="1" applyBorder="1" applyAlignment="1" applyProtection="1">
      <alignment horizontal="center" vertical="center"/>
    </xf>
    <xf numFmtId="176" fontId="85" fillId="3" borderId="1" xfId="12" applyNumberFormat="1" applyFont="1" applyFill="1" applyBorder="1" applyAlignment="1" applyProtection="1">
      <alignment horizontal="right" vertical="center"/>
    </xf>
    <xf numFmtId="0" fontId="85" fillId="16" borderId="1" xfId="12" applyFont="1" applyFill="1" applyBorder="1" applyAlignment="1" applyProtection="1">
      <alignment horizontal="right" vertical="center"/>
    </xf>
    <xf numFmtId="10" fontId="85" fillId="16" borderId="1" xfId="2" applyNumberFormat="1" applyFont="1" applyFill="1" applyBorder="1" applyAlignment="1" applyProtection="1">
      <alignment horizontal="right" vertical="center"/>
    </xf>
    <xf numFmtId="9" fontId="85" fillId="16" borderId="37" xfId="2" applyFont="1" applyFill="1" applyBorder="1" applyAlignment="1" applyProtection="1">
      <alignment horizontal="right" vertical="center"/>
    </xf>
    <xf numFmtId="41" fontId="92" fillId="16" borderId="1" xfId="1" applyFont="1" applyFill="1" applyBorder="1" applyAlignment="1" applyProtection="1">
      <alignment vertical="center"/>
    </xf>
    <xf numFmtId="190" fontId="85" fillId="16" borderId="1" xfId="1" applyNumberFormat="1" applyFont="1" applyFill="1" applyBorder="1" applyAlignment="1" applyProtection="1">
      <alignment vertical="center"/>
    </xf>
    <xf numFmtId="190" fontId="85" fillId="16" borderId="122" xfId="1" applyNumberFormat="1" applyFont="1" applyFill="1" applyBorder="1" applyAlignment="1" applyProtection="1">
      <alignment vertical="center"/>
    </xf>
    <xf numFmtId="190" fontId="85" fillId="16" borderId="4" xfId="1" applyNumberFormat="1" applyFont="1" applyFill="1" applyBorder="1" applyAlignment="1" applyProtection="1">
      <alignment vertical="center"/>
    </xf>
    <xf numFmtId="43" fontId="70" fillId="0" borderId="0" xfId="0" applyNumberFormat="1" applyFont="1">
      <alignment vertical="center"/>
    </xf>
    <xf numFmtId="0" fontId="91" fillId="4" borderId="1" xfId="0" applyFont="1" applyFill="1" applyBorder="1" applyAlignment="1">
      <alignment horizontal="center" vertical="center"/>
    </xf>
    <xf numFmtId="41" fontId="66" fillId="0" borderId="0" xfId="0" applyNumberFormat="1" applyFont="1">
      <alignment vertical="center"/>
    </xf>
    <xf numFmtId="41" fontId="96" fillId="0" borderId="0" xfId="0" applyNumberFormat="1" applyFont="1" applyAlignment="1">
      <alignment horizontal="center" vertical="center"/>
    </xf>
    <xf numFmtId="179" fontId="96" fillId="0" borderId="0" xfId="0" applyNumberFormat="1" applyFont="1" applyAlignment="1">
      <alignment horizontal="center" vertical="center"/>
    </xf>
    <xf numFmtId="179" fontId="96" fillId="0" borderId="0" xfId="0" applyNumberFormat="1" applyFont="1">
      <alignment vertical="center"/>
    </xf>
    <xf numFmtId="41" fontId="97" fillId="3" borderId="1" xfId="1" applyFont="1" applyFill="1" applyBorder="1" applyAlignment="1" applyProtection="1">
      <alignment vertical="center"/>
    </xf>
    <xf numFmtId="41" fontId="97" fillId="4" borderId="1" xfId="1" applyFont="1" applyFill="1" applyBorder="1" applyAlignment="1" applyProtection="1">
      <alignment vertical="center"/>
    </xf>
    <xf numFmtId="43" fontId="66" fillId="0" borderId="0" xfId="0" applyNumberFormat="1" applyFont="1">
      <alignment vertical="center"/>
    </xf>
    <xf numFmtId="191" fontId="70" fillId="0" borderId="0" xfId="0" applyNumberFormat="1" applyFont="1">
      <alignment vertical="center"/>
    </xf>
    <xf numFmtId="9" fontId="70" fillId="0" borderId="0" xfId="0" applyNumberFormat="1" applyFont="1">
      <alignment vertical="center"/>
    </xf>
    <xf numFmtId="9" fontId="70" fillId="0" borderId="0" xfId="0" applyNumberFormat="1" applyFont="1" applyAlignment="1">
      <alignment horizontal="center" vertical="center"/>
    </xf>
    <xf numFmtId="191" fontId="91" fillId="16" borderId="1" xfId="0" applyNumberFormat="1" applyFont="1" applyFill="1" applyBorder="1">
      <alignment vertical="center"/>
    </xf>
    <xf numFmtId="9" fontId="91" fillId="4" borderId="1" xfId="2" applyFont="1" applyFill="1" applyBorder="1" applyAlignment="1" applyProtection="1">
      <alignment vertical="center"/>
    </xf>
    <xf numFmtId="192" fontId="98" fillId="0" borderId="0" xfId="0" applyNumberFormat="1" applyFont="1">
      <alignment vertical="center"/>
    </xf>
    <xf numFmtId="193" fontId="70" fillId="0" borderId="0" xfId="0" applyNumberFormat="1" applyFont="1">
      <alignment vertical="center"/>
    </xf>
    <xf numFmtId="193" fontId="99" fillId="16" borderId="1" xfId="2" applyNumberFormat="1" applyFont="1" applyFill="1" applyBorder="1" applyAlignment="1" applyProtection="1">
      <alignment vertical="center"/>
    </xf>
    <xf numFmtId="9" fontId="99" fillId="16" borderId="1" xfId="2" applyFont="1" applyFill="1" applyBorder="1" applyAlignment="1" applyProtection="1">
      <alignment vertical="center"/>
    </xf>
    <xf numFmtId="41" fontId="56" fillId="0" borderId="0" xfId="0" applyNumberFormat="1" applyFont="1">
      <alignment vertical="center"/>
    </xf>
    <xf numFmtId="193" fontId="100" fillId="16" borderId="1" xfId="2" applyNumberFormat="1" applyFont="1" applyFill="1" applyBorder="1" applyAlignment="1" applyProtection="1">
      <alignment vertical="center"/>
    </xf>
    <xf numFmtId="9" fontId="100" fillId="16" borderId="1" xfId="1" applyNumberFormat="1" applyFont="1" applyFill="1" applyBorder="1" applyAlignment="1" applyProtection="1">
      <alignment vertical="center"/>
    </xf>
    <xf numFmtId="0" fontId="101" fillId="0" borderId="0" xfId="0" applyFont="1" applyAlignment="1">
      <alignment horizontal="center" vertical="center"/>
    </xf>
    <xf numFmtId="0" fontId="101" fillId="0" borderId="0" xfId="0" applyFont="1" applyAlignment="1">
      <alignment horizontal="right" vertical="center"/>
    </xf>
    <xf numFmtId="0" fontId="91" fillId="0" borderId="34" xfId="0" applyFont="1" applyBorder="1" applyAlignment="1">
      <alignment horizontal="center" vertical="center"/>
    </xf>
    <xf numFmtId="41" fontId="70" fillId="0" borderId="0" xfId="1" applyFont="1" applyFill="1" applyAlignment="1" applyProtection="1">
      <alignment vertical="center"/>
    </xf>
    <xf numFmtId="176" fontId="70" fillId="0" borderId="0" xfId="2" applyNumberFormat="1" applyFont="1" applyFill="1" applyAlignment="1" applyProtection="1">
      <alignment vertical="center"/>
    </xf>
    <xf numFmtId="9" fontId="70" fillId="0" borderId="0" xfId="2" applyFont="1" applyAlignment="1" applyProtection="1">
      <alignment vertical="center"/>
    </xf>
    <xf numFmtId="41" fontId="94" fillId="0" borderId="0" xfId="0" applyNumberFormat="1" applyFont="1" applyAlignment="1">
      <alignment horizontal="center" vertical="center"/>
    </xf>
    <xf numFmtId="41" fontId="94" fillId="0" borderId="0" xfId="1" applyFont="1" applyFill="1" applyAlignment="1" applyProtection="1">
      <alignment vertical="center"/>
    </xf>
    <xf numFmtId="0" fontId="70" fillId="3" borderId="0" xfId="0" applyFont="1" applyFill="1" applyAlignment="1">
      <alignment horizontal="center" vertical="center"/>
    </xf>
    <xf numFmtId="9" fontId="70" fillId="0" borderId="0" xfId="2" applyFont="1" applyAlignment="1" applyProtection="1">
      <alignment horizontal="center" vertical="center"/>
    </xf>
    <xf numFmtId="41" fontId="70" fillId="0" borderId="0" xfId="0" applyNumberFormat="1" applyFont="1" applyAlignment="1">
      <alignment horizontal="center" vertical="center"/>
    </xf>
    <xf numFmtId="0" fontId="70" fillId="0" borderId="7" xfId="0" applyFont="1" applyBorder="1" applyAlignment="1">
      <alignment horizontal="center" vertical="center"/>
    </xf>
    <xf numFmtId="0" fontId="66" fillId="0" borderId="0" xfId="0" applyFont="1" applyAlignment="1">
      <alignment horizontal="center" vertical="center"/>
    </xf>
    <xf numFmtId="41" fontId="66" fillId="0" borderId="0" xfId="1" applyFont="1" applyFill="1" applyBorder="1" applyAlignment="1" applyProtection="1">
      <alignment vertical="center"/>
    </xf>
    <xf numFmtId="179" fontId="56" fillId="0" borderId="0" xfId="0" applyNumberFormat="1" applyFont="1">
      <alignment vertical="center"/>
    </xf>
    <xf numFmtId="2" fontId="70" fillId="0" borderId="0" xfId="0" applyNumberFormat="1" applyFont="1">
      <alignment vertical="center"/>
    </xf>
    <xf numFmtId="41" fontId="70" fillId="0" borderId="0" xfId="1" applyFont="1" applyFill="1" applyAlignment="1" applyProtection="1">
      <alignment horizontal="center" vertical="center"/>
    </xf>
    <xf numFmtId="194" fontId="70" fillId="0" borderId="0" xfId="0" applyNumberFormat="1" applyFont="1" applyAlignment="1">
      <alignment horizontal="center" vertical="center"/>
    </xf>
    <xf numFmtId="194" fontId="70" fillId="0" borderId="0" xfId="0" applyNumberFormat="1" applyFont="1">
      <alignment vertical="center"/>
    </xf>
    <xf numFmtId="176" fontId="106" fillId="20" borderId="1" xfId="2" applyNumberFormat="1" applyFont="1" applyFill="1" applyBorder="1" applyAlignment="1" applyProtection="1">
      <alignment horizontal="center" vertical="center"/>
    </xf>
    <xf numFmtId="0" fontId="70" fillId="0" borderId="0" xfId="0" applyFont="1" applyAlignment="1">
      <alignment horizontal="center" vertical="center" wrapText="1"/>
    </xf>
    <xf numFmtId="176" fontId="66" fillId="7" borderId="1" xfId="2" applyNumberFormat="1" applyFont="1" applyFill="1" applyBorder="1" applyAlignment="1" applyProtection="1">
      <alignment horizontal="center" vertical="center"/>
    </xf>
    <xf numFmtId="0" fontId="70" fillId="0" borderId="0" xfId="0" applyFont="1" applyAlignment="1">
      <alignment horizontal="right" vertical="center" wrapText="1"/>
    </xf>
    <xf numFmtId="185" fontId="66" fillId="0" borderId="0" xfId="0" applyNumberFormat="1" applyFont="1">
      <alignment vertical="center"/>
    </xf>
    <xf numFmtId="41" fontId="70" fillId="0" borderId="0" xfId="1" applyFont="1" applyAlignment="1" applyProtection="1">
      <alignment vertical="center"/>
    </xf>
    <xf numFmtId="0" fontId="34" fillId="0" borderId="1" xfId="0" applyFont="1" applyBorder="1" applyAlignment="1">
      <alignment horizontal="center" vertical="center" wrapText="1"/>
    </xf>
    <xf numFmtId="0" fontId="41" fillId="12" borderId="1" xfId="0" applyFont="1" applyFill="1" applyBorder="1" applyAlignment="1">
      <alignment horizontal="center" vertical="center" wrapText="1"/>
    </xf>
    <xf numFmtId="0" fontId="41" fillId="0" borderId="1" xfId="0" applyFont="1" applyBorder="1" applyAlignment="1">
      <alignment horizontal="left" vertical="center" wrapText="1"/>
    </xf>
    <xf numFmtId="0" fontId="8" fillId="4" borderId="34" xfId="0" applyFont="1" applyFill="1" applyBorder="1" applyAlignment="1">
      <alignment horizontal="center" vertical="center"/>
    </xf>
    <xf numFmtId="0" fontId="8" fillId="4" borderId="35" xfId="0" applyFont="1" applyFill="1" applyBorder="1" applyAlignment="1">
      <alignment horizontal="center" vertical="center"/>
    </xf>
    <xf numFmtId="0" fontId="121" fillId="0" borderId="0" xfId="0" applyFont="1">
      <alignment vertical="center"/>
    </xf>
    <xf numFmtId="0" fontId="70" fillId="0" borderId="0" xfId="0" quotePrefix="1" applyFont="1">
      <alignment vertical="center"/>
    </xf>
    <xf numFmtId="179" fontId="70" fillId="0" borderId="0" xfId="0" applyNumberFormat="1" applyFont="1">
      <alignment vertical="center"/>
    </xf>
    <xf numFmtId="0" fontId="66" fillId="23" borderId="1" xfId="0" applyFont="1" applyFill="1" applyBorder="1" applyAlignment="1">
      <alignment horizontal="center" vertical="center"/>
    </xf>
    <xf numFmtId="179" fontId="66" fillId="7" borderId="5" xfId="1" applyNumberFormat="1" applyFont="1" applyFill="1" applyBorder="1" applyAlignment="1" applyProtection="1">
      <alignment horizontal="left" vertical="center"/>
    </xf>
    <xf numFmtId="191" fontId="122" fillId="4" borderId="1" xfId="1" applyNumberFormat="1" applyFont="1" applyFill="1" applyBorder="1" applyAlignment="1" applyProtection="1">
      <alignment vertical="center"/>
    </xf>
    <xf numFmtId="179" fontId="66" fillId="3" borderId="1" xfId="1" applyNumberFormat="1" applyFont="1" applyFill="1" applyBorder="1" applyAlignment="1" applyProtection="1">
      <alignment horizontal="left" vertical="center"/>
    </xf>
    <xf numFmtId="181" fontId="56" fillId="16" borderId="1" xfId="1" applyNumberFormat="1" applyFont="1" applyFill="1" applyBorder="1" applyAlignment="1" applyProtection="1">
      <alignment vertical="center"/>
    </xf>
    <xf numFmtId="195" fontId="66" fillId="16" borderId="1" xfId="0" applyNumberFormat="1" applyFont="1" applyFill="1" applyBorder="1">
      <alignment vertical="center"/>
    </xf>
    <xf numFmtId="184" fontId="66" fillId="16" borderId="1" xfId="0" quotePrefix="1" applyNumberFormat="1" applyFont="1" applyFill="1" applyBorder="1" applyAlignment="1">
      <alignment horizontal="center" vertical="center"/>
    </xf>
    <xf numFmtId="195" fontId="99" fillId="16" borderId="1" xfId="0" applyNumberFormat="1" applyFont="1" applyFill="1" applyBorder="1">
      <alignment vertical="center"/>
    </xf>
    <xf numFmtId="184" fontId="99" fillId="16" borderId="1" xfId="0" quotePrefix="1" applyNumberFormat="1" applyFont="1" applyFill="1" applyBorder="1" applyAlignment="1">
      <alignment horizontal="center" vertical="center"/>
    </xf>
    <xf numFmtId="181" fontId="66" fillId="4" borderId="1" xfId="1" applyNumberFormat="1" applyFont="1" applyFill="1" applyBorder="1" applyAlignment="1" applyProtection="1">
      <alignment horizontal="left" vertical="center"/>
    </xf>
    <xf numFmtId="179" fontId="123" fillId="7" borderId="1" xfId="1" applyNumberFormat="1" applyFont="1" applyFill="1" applyBorder="1" applyAlignment="1" applyProtection="1">
      <alignment vertical="center"/>
    </xf>
    <xf numFmtId="0" fontId="8" fillId="7" borderId="4" xfId="0" applyFont="1" applyFill="1" applyBorder="1">
      <alignment vertical="center"/>
    </xf>
    <xf numFmtId="0" fontId="70" fillId="32" borderId="1" xfId="1" applyNumberFormat="1" applyFont="1" applyFill="1" applyBorder="1" applyAlignment="1" applyProtection="1">
      <alignment horizontal="left" vertical="center"/>
    </xf>
    <xf numFmtId="2" fontId="66" fillId="26" borderId="1" xfId="2" applyNumberFormat="1" applyFont="1" applyFill="1" applyBorder="1" applyAlignment="1" applyProtection="1">
      <alignment horizontal="center" vertical="center" wrapText="1"/>
    </xf>
    <xf numFmtId="2" fontId="66" fillId="3" borderId="1" xfId="2" applyNumberFormat="1" applyFont="1" applyFill="1" applyBorder="1" applyAlignment="1" applyProtection="1">
      <alignment horizontal="center" vertical="center"/>
    </xf>
    <xf numFmtId="0" fontId="11" fillId="18" borderId="1" xfId="2" applyNumberFormat="1" applyFont="1" applyFill="1" applyBorder="1" applyAlignment="1" applyProtection="1">
      <alignment horizontal="left" vertical="center" wrapText="1"/>
    </xf>
    <xf numFmtId="0" fontId="8" fillId="0" borderId="54" xfId="0" applyFont="1" applyBorder="1">
      <alignment vertical="center"/>
    </xf>
    <xf numFmtId="41" fontId="66" fillId="7" borderId="1" xfId="1" applyFont="1" applyFill="1" applyBorder="1" applyAlignment="1" applyProtection="1">
      <alignment horizontal="center" vertical="center" wrapText="1"/>
    </xf>
    <xf numFmtId="0" fontId="66" fillId="7" borderId="1" xfId="1" applyNumberFormat="1" applyFont="1" applyFill="1" applyBorder="1" applyAlignment="1" applyProtection="1">
      <alignment horizontal="center" vertical="center"/>
    </xf>
    <xf numFmtId="189" fontId="100" fillId="4" borderId="1" xfId="1" applyNumberFormat="1" applyFont="1" applyFill="1" applyBorder="1" applyAlignment="1" applyProtection="1">
      <alignment horizontal="center" vertical="center"/>
    </xf>
    <xf numFmtId="9" fontId="100" fillId="4" borderId="1" xfId="2" applyFont="1" applyFill="1" applyBorder="1" applyAlignment="1" applyProtection="1">
      <alignment horizontal="center" vertical="center"/>
    </xf>
    <xf numFmtId="0" fontId="66" fillId="32" borderId="1" xfId="1" applyNumberFormat="1" applyFont="1" applyFill="1" applyBorder="1" applyAlignment="1" applyProtection="1">
      <alignment horizontal="left" vertical="center" wrapText="1"/>
    </xf>
    <xf numFmtId="2" fontId="66" fillId="26" borderId="1" xfId="2" applyNumberFormat="1" applyFont="1" applyFill="1" applyBorder="1" applyAlignment="1" applyProtection="1">
      <alignment horizontal="center" vertical="center"/>
    </xf>
    <xf numFmtId="0" fontId="70" fillId="32" borderId="130" xfId="1" applyNumberFormat="1" applyFont="1" applyFill="1" applyBorder="1" applyAlignment="1" applyProtection="1">
      <alignment horizontal="left" vertical="center" wrapText="1"/>
    </xf>
    <xf numFmtId="196" fontId="66" fillId="7" borderId="46" xfId="2" applyNumberFormat="1" applyFont="1" applyFill="1" applyBorder="1" applyAlignment="1" applyProtection="1">
      <alignment horizontal="center" vertical="center"/>
    </xf>
    <xf numFmtId="43" fontId="66" fillId="7" borderId="47" xfId="2" applyNumberFormat="1" applyFont="1" applyFill="1" applyBorder="1" applyAlignment="1" applyProtection="1">
      <alignment horizontal="center" vertical="center" wrapText="1"/>
    </xf>
    <xf numFmtId="0" fontId="70" fillId="32" borderId="131" xfId="1" applyNumberFormat="1" applyFont="1" applyFill="1" applyBorder="1" applyAlignment="1" applyProtection="1">
      <alignment horizontal="left" vertical="center" wrapText="1"/>
    </xf>
    <xf numFmtId="0" fontId="66" fillId="7" borderId="28" xfId="2" applyNumberFormat="1" applyFont="1" applyFill="1" applyBorder="1" applyAlignment="1" applyProtection="1">
      <alignment horizontal="center" vertical="center"/>
    </xf>
    <xf numFmtId="0" fontId="66" fillId="7" borderId="3" xfId="2" applyNumberFormat="1" applyFont="1" applyFill="1" applyBorder="1" applyAlignment="1" applyProtection="1">
      <alignment horizontal="center" vertical="center" wrapText="1"/>
    </xf>
    <xf numFmtId="0" fontId="70" fillId="32" borderId="132" xfId="1" applyNumberFormat="1" applyFont="1" applyFill="1" applyBorder="1" applyAlignment="1" applyProtection="1">
      <alignment horizontal="left" vertical="center" wrapText="1"/>
    </xf>
    <xf numFmtId="9" fontId="70" fillId="18" borderId="26" xfId="2" applyFont="1" applyFill="1" applyBorder="1" applyAlignment="1" applyProtection="1">
      <alignment horizontal="center" vertical="center"/>
    </xf>
    <xf numFmtId="9" fontId="100" fillId="4" borderId="133" xfId="2" applyFont="1" applyFill="1" applyBorder="1" applyAlignment="1" applyProtection="1">
      <alignment horizontal="center" vertical="center" wrapText="1"/>
    </xf>
    <xf numFmtId="9" fontId="100" fillId="4" borderId="47" xfId="2" applyFont="1" applyFill="1" applyBorder="1" applyAlignment="1" applyProtection="1">
      <alignment horizontal="center" vertical="center" wrapText="1"/>
    </xf>
    <xf numFmtId="9" fontId="70" fillId="18" borderId="103" xfId="2" applyFont="1" applyFill="1" applyBorder="1" applyAlignment="1" applyProtection="1">
      <alignment horizontal="center" vertical="center"/>
    </xf>
    <xf numFmtId="0" fontId="66" fillId="32" borderId="134" xfId="1" applyNumberFormat="1" applyFont="1" applyFill="1" applyBorder="1" applyAlignment="1" applyProtection="1">
      <alignment horizontal="left" vertical="center" wrapText="1"/>
    </xf>
    <xf numFmtId="2" fontId="66" fillId="26" borderId="46" xfId="2" applyNumberFormat="1" applyFont="1" applyFill="1" applyBorder="1" applyAlignment="1" applyProtection="1">
      <alignment horizontal="center" vertical="center"/>
    </xf>
    <xf numFmtId="0" fontId="11" fillId="18" borderId="135" xfId="2" applyNumberFormat="1" applyFont="1" applyFill="1" applyBorder="1" applyAlignment="1" applyProtection="1">
      <alignment horizontal="left" vertical="center" wrapText="1"/>
    </xf>
    <xf numFmtId="0" fontId="8" fillId="0" borderId="127" xfId="0" applyFont="1" applyBorder="1">
      <alignment vertical="center"/>
    </xf>
    <xf numFmtId="197" fontId="8" fillId="0" borderId="8" xfId="0" applyNumberFormat="1" applyFont="1" applyBorder="1">
      <alignment vertical="center"/>
    </xf>
    <xf numFmtId="197" fontId="8" fillId="0" borderId="0" xfId="0" applyNumberFormat="1" applyFont="1">
      <alignment vertical="center"/>
    </xf>
    <xf numFmtId="0" fontId="70" fillId="32" borderId="1" xfId="1" applyNumberFormat="1" applyFont="1" applyFill="1" applyBorder="1" applyAlignment="1" applyProtection="1">
      <alignment horizontal="left" vertical="center" wrapText="1"/>
    </xf>
    <xf numFmtId="196" fontId="70" fillId="7" borderId="42" xfId="2" applyNumberFormat="1" applyFont="1" applyFill="1" applyBorder="1" applyAlignment="1" applyProtection="1">
      <alignment horizontal="center" vertical="center"/>
    </xf>
    <xf numFmtId="43" fontId="70" fillId="7" borderId="2" xfId="2" applyNumberFormat="1" applyFont="1" applyFill="1" applyBorder="1" applyAlignment="1" applyProtection="1">
      <alignment horizontal="center" vertical="center" wrapText="1"/>
    </xf>
    <xf numFmtId="43" fontId="70" fillId="7" borderId="41" xfId="2" applyNumberFormat="1" applyFont="1" applyFill="1" applyBorder="1" applyAlignment="1" applyProtection="1">
      <alignment horizontal="center" vertical="center" wrapText="1"/>
    </xf>
    <xf numFmtId="0" fontId="125" fillId="3" borderId="136" xfId="2" applyNumberFormat="1" applyFont="1" applyFill="1" applyBorder="1" applyAlignment="1" applyProtection="1">
      <alignment horizontal="center" vertical="center"/>
      <protection locked="0"/>
    </xf>
    <xf numFmtId="0" fontId="125" fillId="3" borderId="64" xfId="2" applyNumberFormat="1" applyFont="1" applyFill="1" applyBorder="1" applyAlignment="1" applyProtection="1">
      <alignment horizontal="center" vertical="center"/>
      <protection locked="0"/>
    </xf>
    <xf numFmtId="185" fontId="113" fillId="7" borderId="62" xfId="2" applyNumberFormat="1" applyFont="1" applyFill="1" applyBorder="1" applyAlignment="1" applyProtection="1">
      <alignment horizontal="center" vertical="center"/>
    </xf>
    <xf numFmtId="185" fontId="113" fillId="7" borderId="137" xfId="2" applyNumberFormat="1" applyFont="1" applyFill="1" applyBorder="1" applyAlignment="1" applyProtection="1">
      <alignment horizontal="center" vertical="center"/>
    </xf>
    <xf numFmtId="185" fontId="113" fillId="7" borderId="111" xfId="2" applyNumberFormat="1" applyFont="1" applyFill="1" applyBorder="1" applyAlignment="1" applyProtection="1">
      <alignment horizontal="center" vertical="center"/>
    </xf>
    <xf numFmtId="185" fontId="113" fillId="7" borderId="138" xfId="2" applyNumberFormat="1" applyFont="1" applyFill="1" applyBorder="1" applyAlignment="1" applyProtection="1">
      <alignment horizontal="center" vertical="center"/>
    </xf>
    <xf numFmtId="2" fontId="66" fillId="3" borderId="139" xfId="2" applyNumberFormat="1" applyFont="1" applyFill="1" applyBorder="1" applyAlignment="1" applyProtection="1">
      <alignment horizontal="center" vertical="center"/>
    </xf>
    <xf numFmtId="2" fontId="57" fillId="4" borderId="140" xfId="0" applyNumberFormat="1" applyFont="1" applyFill="1" applyBorder="1" applyAlignment="1">
      <alignment horizontal="center" vertical="center"/>
    </xf>
    <xf numFmtId="2" fontId="66" fillId="26" borderId="139" xfId="2" applyNumberFormat="1" applyFont="1" applyFill="1" applyBorder="1" applyAlignment="1" applyProtection="1">
      <alignment horizontal="center" vertical="center"/>
    </xf>
    <xf numFmtId="0" fontId="66" fillId="0" borderId="3" xfId="1" applyNumberFormat="1" applyFont="1" applyFill="1" applyBorder="1" applyAlignment="1" applyProtection="1">
      <alignment horizontal="left" vertical="center" wrapText="1"/>
    </xf>
    <xf numFmtId="2" fontId="66" fillId="0" borderId="0" xfId="2" applyNumberFormat="1" applyFont="1" applyFill="1" applyBorder="1" applyAlignment="1" applyProtection="1">
      <alignment horizontal="center" vertical="center"/>
    </xf>
    <xf numFmtId="2" fontId="57" fillId="0" borderId="0" xfId="0" applyNumberFormat="1" applyFont="1" applyAlignment="1">
      <alignment horizontal="center" vertical="center"/>
    </xf>
    <xf numFmtId="0" fontId="8" fillId="18" borderId="35" xfId="0" applyFont="1" applyFill="1" applyBorder="1" applyAlignment="1">
      <alignment horizontal="center" vertical="center"/>
    </xf>
    <xf numFmtId="0" fontId="44" fillId="4" borderId="12" xfId="0" applyFont="1" applyFill="1" applyBorder="1">
      <alignment vertical="center"/>
    </xf>
    <xf numFmtId="9" fontId="43" fillId="3" borderId="141" xfId="2" applyFont="1" applyFill="1" applyBorder="1" applyProtection="1">
      <alignment vertical="center"/>
      <protection locked="0"/>
    </xf>
    <xf numFmtId="198" fontId="12" fillId="4" borderId="142" xfId="0" applyNumberFormat="1" applyFont="1" applyFill="1" applyBorder="1" applyAlignment="1">
      <alignment horizontal="center" vertical="center"/>
    </xf>
    <xf numFmtId="0" fontId="12" fillId="10" borderId="35" xfId="0" applyFont="1" applyFill="1" applyBorder="1" applyAlignment="1">
      <alignment horizontal="center" vertical="center"/>
    </xf>
    <xf numFmtId="0" fontId="12" fillId="10" borderId="124" xfId="0" applyFont="1" applyFill="1" applyBorder="1" applyAlignment="1">
      <alignment horizontal="center" vertical="center"/>
    </xf>
    <xf numFmtId="0" fontId="8" fillId="4" borderId="37" xfId="0" applyFont="1" applyFill="1" applyBorder="1">
      <alignment vertical="center"/>
    </xf>
    <xf numFmtId="9" fontId="12" fillId="4" borderId="1" xfId="2" applyFont="1" applyFill="1" applyBorder="1" applyProtection="1">
      <alignment vertical="center"/>
    </xf>
    <xf numFmtId="0" fontId="8" fillId="18" borderId="1" xfId="0" applyFont="1" applyFill="1" applyBorder="1" applyAlignment="1">
      <alignment horizontal="left" vertical="center" wrapText="1"/>
    </xf>
    <xf numFmtId="9" fontId="8" fillId="18" borderId="122" xfId="2" applyFont="1" applyFill="1" applyBorder="1" applyAlignment="1" applyProtection="1">
      <alignment horizontal="right" vertical="center"/>
    </xf>
    <xf numFmtId="2" fontId="8" fillId="18" borderId="37" xfId="0" applyNumberFormat="1" applyFont="1" applyFill="1" applyBorder="1">
      <alignment vertical="center"/>
    </xf>
    <xf numFmtId="9" fontId="8" fillId="18" borderId="1" xfId="2" applyFont="1" applyFill="1" applyBorder="1" applyProtection="1">
      <alignment vertical="center"/>
    </xf>
    <xf numFmtId="0" fontId="9" fillId="18" borderId="1" xfId="0" applyFont="1" applyFill="1" applyBorder="1">
      <alignment vertical="center"/>
    </xf>
    <xf numFmtId="9" fontId="9" fillId="18" borderId="122" xfId="2" applyFont="1" applyFill="1" applyBorder="1" applyProtection="1">
      <alignment vertical="center"/>
    </xf>
    <xf numFmtId="0" fontId="9" fillId="4" borderId="1" xfId="0" applyFont="1" applyFill="1" applyBorder="1" applyAlignment="1">
      <alignment vertical="center" wrapText="1"/>
    </xf>
    <xf numFmtId="9" fontId="12" fillId="4" borderId="122" xfId="2" applyFont="1" applyFill="1" applyBorder="1" applyProtection="1">
      <alignment vertical="center"/>
    </xf>
    <xf numFmtId="0" fontId="8" fillId="18" borderId="37" xfId="0" applyFont="1" applyFill="1" applyBorder="1">
      <alignment vertical="center"/>
    </xf>
    <xf numFmtId="0" fontId="8" fillId="18" borderId="1" xfId="0" applyFont="1" applyFill="1" applyBorder="1">
      <alignment vertical="center"/>
    </xf>
    <xf numFmtId="0" fontId="9" fillId="18" borderId="37" xfId="0" applyFont="1" applyFill="1" applyBorder="1">
      <alignment vertical="center"/>
    </xf>
    <xf numFmtId="9" fontId="9" fillId="18" borderId="1" xfId="2" applyFont="1" applyFill="1" applyBorder="1" applyProtection="1">
      <alignment vertical="center"/>
    </xf>
    <xf numFmtId="0" fontId="127" fillId="18" borderId="1" xfId="0" applyFont="1" applyFill="1" applyBorder="1" applyAlignment="1">
      <alignment horizontal="left" vertical="center"/>
    </xf>
    <xf numFmtId="9" fontId="43" fillId="18" borderId="122" xfId="2" applyFont="1" applyFill="1" applyBorder="1" applyProtection="1">
      <alignment vertical="center"/>
    </xf>
    <xf numFmtId="2" fontId="8" fillId="0" borderId="0" xfId="0" applyNumberFormat="1" applyFont="1" applyAlignment="1">
      <alignment horizontal="center" vertical="center"/>
    </xf>
    <xf numFmtId="199" fontId="8" fillId="0" borderId="0" xfId="0" applyNumberFormat="1" applyFont="1">
      <alignment vertical="center"/>
    </xf>
    <xf numFmtId="0" fontId="8" fillId="18" borderId="100" xfId="0" applyFont="1" applyFill="1" applyBorder="1">
      <alignment vertical="center"/>
    </xf>
    <xf numFmtId="0" fontId="8" fillId="18" borderId="15" xfId="0" applyFont="1" applyFill="1" applyBorder="1">
      <alignment vertical="center"/>
    </xf>
    <xf numFmtId="9" fontId="128" fillId="18" borderId="125" xfId="2" applyFont="1" applyFill="1" applyBorder="1" applyAlignment="1" applyProtection="1">
      <alignment vertical="center"/>
    </xf>
    <xf numFmtId="194" fontId="8" fillId="0" borderId="0" xfId="0" applyNumberFormat="1" applyFont="1">
      <alignment vertical="center"/>
    </xf>
    <xf numFmtId="0" fontId="8" fillId="7" borderId="5" xfId="0" applyFont="1" applyFill="1" applyBorder="1">
      <alignment vertical="center"/>
    </xf>
    <xf numFmtId="0" fontId="9" fillId="7" borderId="1" xfId="0" applyFont="1" applyFill="1" applyBorder="1" applyAlignment="1">
      <alignment horizontal="center" vertical="center"/>
    </xf>
    <xf numFmtId="9" fontId="9" fillId="7" borderId="1" xfId="0" applyNumberFormat="1" applyFont="1" applyFill="1" applyBorder="1" applyAlignment="1" applyProtection="1">
      <alignment horizontal="center" vertical="center"/>
      <protection locked="0"/>
    </xf>
    <xf numFmtId="181" fontId="70" fillId="7" borderId="1" xfId="1" applyNumberFormat="1" applyFont="1" applyFill="1" applyBorder="1" applyAlignment="1">
      <alignment vertical="center"/>
    </xf>
    <xf numFmtId="0" fontId="8" fillId="7" borderId="1" xfId="0" applyFont="1" applyFill="1" applyBorder="1">
      <alignment vertical="center"/>
    </xf>
    <xf numFmtId="0" fontId="29" fillId="13" borderId="1" xfId="0" applyFont="1" applyFill="1" applyBorder="1" applyAlignment="1">
      <alignment horizontal="center" vertical="center"/>
    </xf>
    <xf numFmtId="0" fontId="29" fillId="6" borderId="1" xfId="0" applyFont="1" applyFill="1" applyBorder="1" applyAlignment="1">
      <alignment horizontal="center" vertical="center"/>
    </xf>
    <xf numFmtId="0" fontId="6" fillId="0" borderId="0" xfId="0" applyFont="1" applyProtection="1">
      <alignment vertical="center"/>
      <protection locked="0"/>
    </xf>
    <xf numFmtId="0" fontId="13" fillId="0" borderId="0" xfId="0" applyFont="1" applyAlignment="1" applyProtection="1">
      <alignment horizontal="center" vertical="center"/>
      <protection locked="0"/>
    </xf>
    <xf numFmtId="0" fontId="13" fillId="0" borderId="0" xfId="0" applyFont="1" applyProtection="1">
      <alignment vertical="center"/>
      <protection locked="0"/>
    </xf>
    <xf numFmtId="43" fontId="13" fillId="0" borderId="0" xfId="0" applyNumberFormat="1" applyFont="1" applyProtection="1">
      <alignment vertical="center"/>
      <protection locked="0"/>
    </xf>
    <xf numFmtId="0" fontId="14" fillId="0" borderId="0" xfId="0" applyFont="1" applyProtection="1">
      <alignment vertical="center"/>
      <protection locked="0"/>
    </xf>
    <xf numFmtId="0" fontId="19" fillId="0" borderId="0" xfId="0" applyFont="1" applyAlignment="1" applyProtection="1">
      <alignment horizontal="left" vertical="center"/>
      <protection locked="0"/>
    </xf>
    <xf numFmtId="0" fontId="20" fillId="0" borderId="0" xfId="0" applyFont="1" applyAlignment="1" applyProtection="1">
      <alignment horizontal="center" vertical="center"/>
      <protection locked="0"/>
    </xf>
    <xf numFmtId="0" fontId="13" fillId="9" borderId="5" xfId="0" applyFont="1" applyFill="1" applyBorder="1" applyAlignment="1" applyProtection="1">
      <alignment vertical="center" wrapText="1"/>
      <protection locked="0"/>
    </xf>
    <xf numFmtId="0" fontId="13" fillId="9" borderId="1" xfId="0" applyFont="1" applyFill="1" applyBorder="1" applyAlignment="1" applyProtection="1">
      <alignment horizontal="center" vertical="center"/>
      <protection locked="0"/>
    </xf>
    <xf numFmtId="177" fontId="14" fillId="9" borderId="1" xfId="0" applyNumberFormat="1" applyFont="1" applyFill="1" applyBorder="1" applyProtection="1">
      <alignment vertical="center"/>
      <protection locked="0"/>
    </xf>
    <xf numFmtId="182" fontId="13" fillId="9" borderId="1" xfId="0" applyNumberFormat="1" applyFont="1" applyFill="1" applyBorder="1" applyProtection="1">
      <alignment vertical="center"/>
      <protection locked="0"/>
    </xf>
    <xf numFmtId="9" fontId="13" fillId="0" borderId="0" xfId="0" applyNumberFormat="1" applyFont="1" applyProtection="1">
      <alignment vertical="center"/>
      <protection locked="0"/>
    </xf>
    <xf numFmtId="178" fontId="13" fillId="0" borderId="0" xfId="0" applyNumberFormat="1" applyFont="1" applyProtection="1">
      <alignment vertical="center"/>
      <protection locked="0"/>
    </xf>
    <xf numFmtId="177" fontId="13" fillId="0" borderId="0" xfId="0" applyNumberFormat="1" applyFont="1" applyAlignment="1" applyProtection="1">
      <alignment horizontal="center" vertical="center"/>
      <protection locked="0"/>
    </xf>
    <xf numFmtId="0" fontId="15" fillId="0" borderId="0" xfId="0" applyFont="1" applyProtection="1">
      <alignment vertical="center"/>
      <protection locked="0"/>
    </xf>
    <xf numFmtId="41" fontId="15" fillId="0" borderId="0" xfId="0" applyNumberFormat="1" applyFont="1" applyProtection="1">
      <alignment vertical="center"/>
      <protection locked="0"/>
    </xf>
    <xf numFmtId="43" fontId="3" fillId="0" borderId="0" xfId="0" applyNumberFormat="1" applyFont="1" applyProtection="1">
      <alignment vertical="center"/>
      <protection locked="0"/>
    </xf>
    <xf numFmtId="177" fontId="16" fillId="0" borderId="0" xfId="0" applyNumberFormat="1" applyFont="1" applyProtection="1">
      <alignment vertical="center"/>
      <protection locked="0"/>
    </xf>
    <xf numFmtId="177" fontId="16" fillId="0" borderId="0" xfId="0" applyNumberFormat="1" applyFont="1" applyAlignment="1" applyProtection="1">
      <alignment horizontal="center" vertical="center"/>
      <protection locked="0"/>
    </xf>
    <xf numFmtId="41" fontId="17" fillId="0" borderId="0" xfId="0" applyNumberFormat="1" applyFont="1" applyAlignment="1" applyProtection="1">
      <alignment horizontal="center" vertical="center"/>
      <protection locked="0"/>
    </xf>
    <xf numFmtId="179" fontId="16" fillId="0" borderId="0" xfId="0" applyNumberFormat="1" applyFont="1" applyAlignment="1" applyProtection="1">
      <alignment horizontal="center" vertical="center"/>
      <protection locked="0"/>
    </xf>
    <xf numFmtId="0" fontId="3" fillId="0" borderId="0" xfId="0" applyFont="1" applyAlignment="1" applyProtection="1">
      <alignment horizontal="center" vertical="center"/>
      <protection locked="0"/>
    </xf>
    <xf numFmtId="41" fontId="16" fillId="13" borderId="32" xfId="3" applyFont="1" applyFill="1" applyBorder="1" applyAlignment="1" applyProtection="1">
      <alignment horizontal="center" vertical="center"/>
    </xf>
    <xf numFmtId="0" fontId="131" fillId="0" borderId="8" xfId="0" applyFont="1" applyBorder="1" applyAlignment="1">
      <alignment horizontal="center" vertical="center"/>
    </xf>
    <xf numFmtId="0" fontId="131" fillId="0" borderId="8" xfId="0" applyFont="1" applyBorder="1" applyAlignment="1">
      <alignment horizontal="left" vertical="center"/>
    </xf>
    <xf numFmtId="0" fontId="24" fillId="0" borderId="0" xfId="0" applyFont="1">
      <alignment vertical="center"/>
    </xf>
    <xf numFmtId="0" fontId="132" fillId="33" borderId="33" xfId="0" applyFont="1" applyFill="1" applyBorder="1" applyAlignment="1">
      <alignment horizontal="center" vertical="center" wrapText="1"/>
    </xf>
    <xf numFmtId="0" fontId="133" fillId="0" borderId="33" xfId="0" applyFont="1" applyBorder="1" applyAlignment="1">
      <alignment horizontal="center" vertical="center" wrapText="1"/>
    </xf>
    <xf numFmtId="0" fontId="133" fillId="0" borderId="33" xfId="0" applyFont="1" applyBorder="1" applyAlignment="1">
      <alignment horizontal="left" vertical="center" wrapText="1"/>
    </xf>
    <xf numFmtId="0" fontId="133" fillId="0" borderId="33" xfId="0" applyFont="1" applyBorder="1" applyAlignment="1">
      <alignment horizontal="justify" vertical="center" wrapText="1"/>
    </xf>
    <xf numFmtId="0" fontId="133" fillId="0" borderId="1" xfId="0" applyFont="1" applyBorder="1" applyAlignment="1">
      <alignment horizontal="center" vertical="center" wrapText="1"/>
    </xf>
    <xf numFmtId="0" fontId="133" fillId="0" borderId="146" xfId="0" applyFont="1" applyBorder="1" applyAlignment="1">
      <alignment horizontal="justify" vertical="center" wrapText="1"/>
    </xf>
    <xf numFmtId="0" fontId="135" fillId="0" borderId="147" xfId="0" applyFont="1" applyBorder="1" applyAlignment="1">
      <alignment horizontal="justify" vertical="center" wrapText="1"/>
    </xf>
    <xf numFmtId="0" fontId="133" fillId="0" borderId="2" xfId="0" applyFont="1" applyBorder="1" applyAlignment="1">
      <alignment horizontal="center" vertical="center" wrapText="1"/>
    </xf>
    <xf numFmtId="0" fontId="24" fillId="0" borderId="1" xfId="0" applyFont="1" applyBorder="1" applyAlignment="1">
      <alignment horizontal="center" vertical="center"/>
    </xf>
    <xf numFmtId="0" fontId="133" fillId="0" borderId="143" xfId="0" applyFont="1" applyBorder="1" applyAlignment="1">
      <alignment horizontal="justify" vertical="center" wrapText="1"/>
    </xf>
    <xf numFmtId="0" fontId="133" fillId="13" borderId="1" xfId="0" applyFont="1" applyFill="1" applyBorder="1" applyAlignment="1">
      <alignment horizontal="center" vertical="center" wrapText="1"/>
    </xf>
    <xf numFmtId="0" fontId="136" fillId="0" borderId="147" xfId="0" applyFont="1" applyBorder="1" applyAlignment="1">
      <alignment horizontal="justify" vertical="center" wrapText="1"/>
    </xf>
    <xf numFmtId="0" fontId="133" fillId="0" borderId="149" xfId="0" applyFont="1" applyBorder="1" applyAlignment="1">
      <alignment horizontal="justify" vertical="center" wrapText="1"/>
    </xf>
    <xf numFmtId="0" fontId="24" fillId="0" borderId="1" xfId="0" applyFont="1" applyBorder="1" applyAlignment="1">
      <alignment horizontal="center" vertical="center" wrapText="1"/>
    </xf>
    <xf numFmtId="0" fontId="133" fillId="0" borderId="143" xfId="0" applyFont="1" applyBorder="1" applyAlignment="1">
      <alignment horizontal="center" vertical="center" wrapText="1"/>
    </xf>
    <xf numFmtId="0" fontId="133" fillId="0" borderId="143" xfId="0" applyFont="1" applyBorder="1" applyAlignment="1">
      <alignment horizontal="left" vertical="center" wrapText="1"/>
    </xf>
    <xf numFmtId="0" fontId="137" fillId="0" borderId="1" xfId="0" applyFont="1" applyBorder="1" applyAlignment="1" applyProtection="1">
      <alignment horizontal="center" vertical="center"/>
      <protection locked="0"/>
    </xf>
    <xf numFmtId="0" fontId="132" fillId="0" borderId="33" xfId="0" applyFont="1" applyBorder="1" applyAlignment="1">
      <alignment horizontal="center" vertical="center" wrapText="1"/>
    </xf>
    <xf numFmtId="0" fontId="132" fillId="0" borderId="143" xfId="0" applyFont="1" applyBorder="1" applyAlignment="1">
      <alignment horizontal="center" vertical="center" wrapText="1"/>
    </xf>
    <xf numFmtId="0" fontId="37" fillId="0" borderId="0" xfId="0" applyFont="1" applyAlignment="1">
      <alignment horizontal="center" vertical="center"/>
    </xf>
    <xf numFmtId="0" fontId="138" fillId="0" borderId="143" xfId="0" applyFont="1" applyBorder="1" applyAlignment="1">
      <alignment horizontal="center" vertical="center" wrapText="1"/>
    </xf>
    <xf numFmtId="0" fontId="139" fillId="0" borderId="143" xfId="0" applyFont="1" applyBorder="1" applyAlignment="1">
      <alignment horizontal="center" vertical="center" wrapText="1"/>
    </xf>
    <xf numFmtId="0" fontId="138" fillId="0" borderId="143" xfId="0" applyFont="1" applyBorder="1" applyAlignment="1">
      <alignment horizontal="left" vertical="center" wrapText="1"/>
    </xf>
    <xf numFmtId="0" fontId="138" fillId="0" borderId="146" xfId="0" applyFont="1" applyBorder="1" applyAlignment="1">
      <alignment horizontal="justify" vertical="center" wrapText="1"/>
    </xf>
    <xf numFmtId="0" fontId="138" fillId="0" borderId="1" xfId="0" applyFont="1" applyBorder="1" applyAlignment="1">
      <alignment horizontal="center" vertical="center"/>
    </xf>
    <xf numFmtId="0" fontId="140" fillId="0" borderId="0" xfId="0" applyFont="1">
      <alignment vertical="center"/>
    </xf>
    <xf numFmtId="0" fontId="138" fillId="0" borderId="33" xfId="0" applyFont="1" applyBorder="1" applyAlignment="1">
      <alignment horizontal="center" vertical="center" wrapText="1"/>
    </xf>
    <xf numFmtId="0" fontId="139" fillId="0" borderId="33" xfId="0" applyFont="1" applyBorder="1" applyAlignment="1">
      <alignment horizontal="center" vertical="center" wrapText="1"/>
    </xf>
    <xf numFmtId="0" fontId="138" fillId="0" borderId="33" xfId="0" applyFont="1" applyBorder="1" applyAlignment="1">
      <alignment horizontal="left" vertical="center" wrapText="1"/>
    </xf>
    <xf numFmtId="0" fontId="138" fillId="0" borderId="149" xfId="0" applyFont="1" applyBorder="1" applyAlignment="1">
      <alignment horizontal="justify" vertical="center" wrapText="1"/>
    </xf>
    <xf numFmtId="189" fontId="100" fillId="4" borderId="1" xfId="1" quotePrefix="1" applyNumberFormat="1" applyFont="1" applyFill="1" applyBorder="1" applyAlignment="1" applyProtection="1">
      <alignment horizontal="center" vertical="center"/>
    </xf>
    <xf numFmtId="189" fontId="7" fillId="0" borderId="0" xfId="0" applyNumberFormat="1" applyFont="1">
      <alignment vertical="center"/>
    </xf>
    <xf numFmtId="189" fontId="3" fillId="0" borderId="0" xfId="0" applyNumberFormat="1" applyFont="1" applyProtection="1">
      <alignment vertical="center"/>
      <protection locked="0"/>
    </xf>
    <xf numFmtId="0" fontId="8" fillId="0" borderId="0" xfId="13" applyFont="1" applyAlignment="1" applyProtection="1">
      <alignment vertical="center" wrapText="1"/>
      <protection locked="0"/>
    </xf>
    <xf numFmtId="0" fontId="8" fillId="4" borderId="3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38" xfId="0" applyFont="1" applyFill="1" applyBorder="1" applyAlignment="1">
      <alignment horizontal="center" vertical="center"/>
    </xf>
    <xf numFmtId="0" fontId="8" fillId="4" borderId="39" xfId="0" applyFont="1" applyFill="1" applyBorder="1" applyAlignment="1">
      <alignment horizontal="center" vertical="center"/>
    </xf>
    <xf numFmtId="0" fontId="8" fillId="4" borderId="40" xfId="0" applyFont="1" applyFill="1" applyBorder="1" applyAlignment="1">
      <alignment horizontal="center" vertical="center"/>
    </xf>
    <xf numFmtId="0" fontId="8" fillId="4" borderId="23" xfId="0" applyFont="1" applyFill="1" applyBorder="1" applyAlignment="1">
      <alignment horizontal="center" vertical="center"/>
    </xf>
    <xf numFmtId="0" fontId="8" fillId="4" borderId="41" xfId="0" applyFont="1" applyFill="1" applyBorder="1" applyAlignment="1">
      <alignment horizontal="center" vertical="center"/>
    </xf>
    <xf numFmtId="0" fontId="8" fillId="4" borderId="42"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43" xfId="0" applyFont="1" applyFill="1" applyBorder="1" applyAlignment="1">
      <alignment horizontal="center" vertical="center"/>
    </xf>
    <xf numFmtId="0" fontId="43" fillId="0" borderId="0" xfId="0" applyFont="1" applyAlignment="1">
      <alignment horizontal="left" vertical="center" wrapText="1"/>
    </xf>
    <xf numFmtId="0" fontId="8" fillId="4" borderId="34" xfId="0" applyFont="1" applyFill="1" applyBorder="1" applyAlignment="1">
      <alignment horizontal="center" vertical="center"/>
    </xf>
    <xf numFmtId="0" fontId="8" fillId="4" borderId="35" xfId="0" applyFont="1" applyFill="1" applyBorder="1" applyAlignment="1">
      <alignment horizontal="center" vertical="center"/>
    </xf>
    <xf numFmtId="0" fontId="9" fillId="3" borderId="9" xfId="0" applyFont="1" applyFill="1" applyBorder="1" applyAlignment="1" applyProtection="1">
      <alignment horizontal="center" vertical="center"/>
      <protection locked="0"/>
    </xf>
    <xf numFmtId="0" fontId="9" fillId="3" borderId="10" xfId="0" applyFont="1" applyFill="1" applyBorder="1" applyAlignment="1" applyProtection="1">
      <alignment horizontal="center" vertical="center"/>
      <protection locked="0"/>
    </xf>
    <xf numFmtId="0" fontId="9" fillId="3" borderId="11" xfId="0" applyFont="1" applyFill="1" applyBorder="1" applyAlignment="1" applyProtection="1">
      <alignment horizontal="center" vertical="center"/>
      <protection locked="0"/>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36" xfId="0" applyFont="1" applyFill="1" applyBorder="1" applyAlignment="1">
      <alignment horizontal="center" vertical="center"/>
    </xf>
    <xf numFmtId="0" fontId="8" fillId="4" borderId="5" xfId="0" applyFont="1" applyFill="1" applyBorder="1" applyAlignment="1">
      <alignment horizontal="center" vertical="center"/>
    </xf>
    <xf numFmtId="0" fontId="8" fillId="3" borderId="31" xfId="0" applyFont="1" applyFill="1" applyBorder="1" applyAlignment="1" applyProtection="1">
      <alignment horizontal="center" vertical="center"/>
      <protection locked="0"/>
    </xf>
    <xf numFmtId="0" fontId="8" fillId="3" borderId="44" xfId="0" applyFont="1" applyFill="1" applyBorder="1" applyAlignment="1" applyProtection="1">
      <alignment horizontal="center" vertical="center"/>
      <protection locked="0"/>
    </xf>
    <xf numFmtId="0" fontId="8" fillId="3" borderId="45" xfId="0" applyFont="1" applyFill="1" applyBorder="1" applyAlignment="1" applyProtection="1">
      <alignment horizontal="center" vertical="center"/>
      <protection locked="0"/>
    </xf>
    <xf numFmtId="0" fontId="8" fillId="4" borderId="12"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46" xfId="0" applyFont="1" applyFill="1" applyBorder="1" applyAlignment="1">
      <alignment horizontal="center" vertical="center"/>
    </xf>
    <xf numFmtId="0" fontId="8" fillId="4" borderId="47" xfId="0" applyFont="1" applyFill="1" applyBorder="1" applyAlignment="1">
      <alignment horizontal="center" vertical="center"/>
    </xf>
    <xf numFmtId="0" fontId="8" fillId="4" borderId="48" xfId="0" applyFont="1" applyFill="1" applyBorder="1" applyAlignment="1">
      <alignment horizontal="center" vertical="center"/>
    </xf>
    <xf numFmtId="0" fontId="8" fillId="0" borderId="49" xfId="0" applyFont="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0" fontId="8" fillId="0" borderId="50" xfId="0" applyFont="1" applyBorder="1" applyAlignment="1" applyProtection="1">
      <alignment horizontal="center" vertical="center"/>
      <protection locked="0"/>
    </xf>
    <xf numFmtId="0" fontId="8" fillId="0" borderId="51" xfId="0" applyFont="1" applyBorder="1" applyAlignment="1">
      <alignment horizontal="center" vertical="center"/>
    </xf>
    <xf numFmtId="0" fontId="8" fillId="0" borderId="52" xfId="0" applyFont="1" applyBorder="1" applyAlignment="1">
      <alignment horizontal="center" vertical="center"/>
    </xf>
    <xf numFmtId="0" fontId="8" fillId="0" borderId="53" xfId="0" applyFont="1" applyBorder="1" applyAlignment="1">
      <alignment horizontal="center" vertical="center"/>
    </xf>
    <xf numFmtId="0" fontId="8" fillId="4" borderId="5" xfId="0" applyFont="1" applyFill="1" applyBorder="1" applyAlignment="1">
      <alignment horizontal="left" vertical="center" wrapText="1"/>
    </xf>
    <xf numFmtId="0" fontId="8" fillId="4" borderId="7" xfId="0" applyFont="1" applyFill="1" applyBorder="1" applyAlignment="1">
      <alignment horizontal="left" vertical="center"/>
    </xf>
    <xf numFmtId="0" fontId="8" fillId="4" borderId="60" xfId="0" applyFont="1" applyFill="1" applyBorder="1" applyAlignment="1">
      <alignment horizontal="left" vertical="center"/>
    </xf>
    <xf numFmtId="0" fontId="8" fillId="3" borderId="65" xfId="0" applyFont="1" applyFill="1" applyBorder="1" applyAlignment="1" applyProtection="1">
      <alignment horizontal="left" vertical="center" wrapText="1"/>
      <protection locked="0"/>
    </xf>
    <xf numFmtId="0" fontId="8" fillId="3" borderId="66" xfId="0" applyFont="1" applyFill="1" applyBorder="1" applyAlignment="1" applyProtection="1">
      <alignment horizontal="left" vertical="center" wrapText="1"/>
      <protection locked="0"/>
    </xf>
    <xf numFmtId="0" fontId="8" fillId="3" borderId="67" xfId="0" applyFont="1" applyFill="1" applyBorder="1" applyAlignment="1" applyProtection="1">
      <alignment horizontal="left" vertical="center" wrapText="1"/>
      <protection locked="0"/>
    </xf>
    <xf numFmtId="0" fontId="8" fillId="4" borderId="28"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54" xfId="0" quotePrefix="1" applyFont="1" applyFill="1" applyBorder="1" applyAlignment="1">
      <alignment horizontal="center" vertical="center"/>
    </xf>
    <xf numFmtId="0" fontId="8" fillId="4" borderId="8" xfId="0" applyFont="1" applyFill="1" applyBorder="1" applyAlignment="1">
      <alignment horizontal="center" vertical="center"/>
    </xf>
    <xf numFmtId="0" fontId="8" fillId="3" borderId="55" xfId="0" applyFont="1" applyFill="1" applyBorder="1" applyAlignment="1" applyProtection="1">
      <alignment horizontal="center" vertical="center"/>
      <protection locked="0"/>
    </xf>
    <xf numFmtId="0" fontId="8" fillId="3" borderId="56" xfId="0" applyFont="1" applyFill="1" applyBorder="1" applyAlignment="1" applyProtection="1">
      <alignment horizontal="center" vertical="center"/>
      <protection locked="0"/>
    </xf>
    <xf numFmtId="0" fontId="8" fillId="4" borderId="5" xfId="0" quotePrefix="1" applyFont="1" applyFill="1" applyBorder="1" applyAlignment="1">
      <alignment horizontal="center" vertical="center"/>
    </xf>
    <xf numFmtId="0" fontId="8" fillId="4" borderId="6" xfId="0" applyFont="1" applyFill="1" applyBorder="1" applyAlignment="1">
      <alignment horizontal="center" vertical="center"/>
    </xf>
    <xf numFmtId="0" fontId="8" fillId="3" borderId="57" xfId="0" applyFont="1" applyFill="1" applyBorder="1" applyAlignment="1" applyProtection="1">
      <alignment horizontal="center" vertical="center"/>
      <protection locked="0"/>
    </xf>
    <xf numFmtId="0" fontId="8" fillId="3" borderId="58" xfId="0" applyFont="1" applyFill="1" applyBorder="1" applyAlignment="1" applyProtection="1">
      <alignment horizontal="center" vertical="center"/>
      <protection locked="0"/>
    </xf>
    <xf numFmtId="0" fontId="8" fillId="3" borderId="51" xfId="0" applyFont="1" applyFill="1" applyBorder="1" applyAlignment="1" applyProtection="1">
      <alignment horizontal="left" vertical="center" wrapText="1"/>
      <protection locked="0"/>
    </xf>
    <xf numFmtId="0" fontId="8" fillId="3" borderId="52" xfId="0" applyFont="1" applyFill="1" applyBorder="1" applyAlignment="1" applyProtection="1">
      <alignment horizontal="left" vertical="center" wrapText="1"/>
      <protection locked="0"/>
    </xf>
    <xf numFmtId="0" fontId="8" fillId="3" borderId="53" xfId="0" applyFont="1" applyFill="1" applyBorder="1" applyAlignment="1" applyProtection="1">
      <alignment horizontal="left" vertical="center" wrapText="1"/>
      <protection locked="0"/>
    </xf>
    <xf numFmtId="0" fontId="8" fillId="4" borderId="28"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54" xfId="0" applyFont="1" applyFill="1" applyBorder="1" applyAlignment="1">
      <alignment horizontal="center" vertical="center" wrapText="1"/>
    </xf>
    <xf numFmtId="0" fontId="46" fillId="17" borderId="71" xfId="0" applyFont="1" applyFill="1" applyBorder="1" applyAlignment="1" applyProtection="1">
      <alignment horizontal="center" vertical="center"/>
      <protection locked="0"/>
    </xf>
    <xf numFmtId="0" fontId="46" fillId="17" borderId="72" xfId="0" applyFont="1" applyFill="1" applyBorder="1" applyAlignment="1" applyProtection="1">
      <alignment horizontal="center" vertical="center"/>
      <protection locked="0"/>
    </xf>
    <xf numFmtId="0" fontId="9" fillId="4" borderId="18"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46" fillId="17" borderId="74" xfId="0" applyFont="1" applyFill="1" applyBorder="1" applyAlignment="1" applyProtection="1">
      <alignment horizontal="center" vertical="center"/>
      <protection locked="0"/>
    </xf>
    <xf numFmtId="0" fontId="46" fillId="17" borderId="75" xfId="0" applyFont="1" applyFill="1" applyBorder="1" applyAlignment="1" applyProtection="1">
      <alignment horizontal="center" vertical="center"/>
      <protection locked="0"/>
    </xf>
    <xf numFmtId="0" fontId="46" fillId="17" borderId="76" xfId="0" applyFont="1" applyFill="1" applyBorder="1" applyAlignment="1" applyProtection="1">
      <alignment horizontal="center" vertical="center"/>
      <protection locked="0"/>
    </xf>
    <xf numFmtId="0" fontId="12" fillId="4" borderId="6" xfId="0" applyFont="1" applyFill="1" applyBorder="1" applyAlignment="1">
      <alignment horizontal="center" vertical="center"/>
    </xf>
    <xf numFmtId="0" fontId="12" fillId="4" borderId="59" xfId="0" applyFont="1" applyFill="1" applyBorder="1" applyAlignment="1">
      <alignment horizontal="center" vertical="center"/>
    </xf>
    <xf numFmtId="0" fontId="8" fillId="4" borderId="26" xfId="0" applyFont="1" applyFill="1" applyBorder="1" applyAlignment="1">
      <alignment horizontal="center" vertical="center"/>
    </xf>
    <xf numFmtId="0" fontId="8" fillId="4" borderId="27" xfId="0" applyFont="1" applyFill="1" applyBorder="1" applyAlignment="1">
      <alignment horizontal="center" vertical="center"/>
    </xf>
    <xf numFmtId="0" fontId="8" fillId="4" borderId="68" xfId="0" applyFont="1" applyFill="1" applyBorder="1" applyAlignment="1">
      <alignment horizontal="center" vertical="center"/>
    </xf>
    <xf numFmtId="181" fontId="9" fillId="3" borderId="1" xfId="1" applyNumberFormat="1" applyFont="1" applyFill="1" applyBorder="1" applyAlignment="1" applyProtection="1">
      <alignment horizontal="center" vertical="center"/>
      <protection locked="0"/>
    </xf>
    <xf numFmtId="0" fontId="8" fillId="4" borderId="5" xfId="0" applyFont="1" applyFill="1" applyBorder="1" applyAlignment="1">
      <alignment horizontal="left" vertical="center"/>
    </xf>
    <xf numFmtId="0" fontId="8" fillId="4" borderId="6" xfId="0" applyFont="1" applyFill="1" applyBorder="1" applyAlignment="1">
      <alignment horizontal="left" vertical="center"/>
    </xf>
    <xf numFmtId="0" fontId="8" fillId="4" borderId="59" xfId="0" applyFont="1" applyFill="1" applyBorder="1" applyAlignment="1">
      <alignment horizontal="left" vertical="center"/>
    </xf>
    <xf numFmtId="0" fontId="8" fillId="4" borderId="4" xfId="0" applyFont="1" applyFill="1" applyBorder="1" applyAlignment="1">
      <alignment horizontal="left" vertical="center"/>
    </xf>
    <xf numFmtId="181" fontId="8" fillId="15" borderId="5" xfId="1" applyNumberFormat="1" applyFont="1" applyFill="1" applyBorder="1" applyAlignment="1" applyProtection="1">
      <alignment horizontal="center" vertical="center"/>
    </xf>
    <xf numFmtId="181" fontId="8" fillId="15" borderId="4" xfId="1" applyNumberFormat="1" applyFont="1" applyFill="1" applyBorder="1" applyAlignment="1" applyProtection="1">
      <alignment horizontal="center" vertical="center"/>
    </xf>
    <xf numFmtId="0" fontId="8" fillId="4" borderId="61" xfId="0" applyFont="1" applyFill="1" applyBorder="1" applyAlignment="1">
      <alignment horizontal="center" vertical="center"/>
    </xf>
    <xf numFmtId="0" fontId="8" fillId="4" borderId="0" xfId="0" applyFont="1" applyFill="1" applyAlignment="1">
      <alignment horizontal="center" vertical="center"/>
    </xf>
    <xf numFmtId="0" fontId="8" fillId="4" borderId="62" xfId="0" applyFont="1" applyFill="1" applyBorder="1" applyAlignment="1">
      <alignment horizontal="center" vertical="center"/>
    </xf>
    <xf numFmtId="0" fontId="8" fillId="4" borderId="69"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70" xfId="0" applyFont="1" applyFill="1" applyBorder="1" applyAlignment="1">
      <alignment horizontal="center" vertical="center"/>
    </xf>
    <xf numFmtId="181" fontId="45" fillId="16" borderId="0" xfId="1" applyNumberFormat="1" applyFont="1" applyFill="1" applyBorder="1" applyAlignment="1" applyProtection="1">
      <alignment horizontal="center" vertical="center"/>
    </xf>
    <xf numFmtId="0" fontId="8" fillId="4" borderId="79" xfId="0" applyFont="1" applyFill="1" applyBorder="1" applyAlignment="1">
      <alignment horizontal="left" vertical="center"/>
    </xf>
    <xf numFmtId="0" fontId="8" fillId="4" borderId="80" xfId="0" applyFont="1" applyFill="1" applyBorder="1" applyAlignment="1">
      <alignment horizontal="left" vertical="center"/>
    </xf>
    <xf numFmtId="0" fontId="8" fillId="4" borderId="1" xfId="0" applyFont="1" applyFill="1" applyBorder="1" applyAlignment="1" applyProtection="1">
      <alignment horizontal="center" vertical="center"/>
      <protection locked="0"/>
    </xf>
    <xf numFmtId="0" fontId="8" fillId="3" borderId="81" xfId="0" applyFont="1" applyFill="1" applyBorder="1" applyAlignment="1" applyProtection="1">
      <alignment horizontal="center" vertical="center"/>
      <protection locked="0"/>
    </xf>
    <xf numFmtId="0" fontId="8" fillId="3" borderId="17" xfId="0" applyFont="1" applyFill="1" applyBorder="1" applyAlignment="1" applyProtection="1">
      <alignment horizontal="center" vertical="center"/>
      <protection locked="0"/>
    </xf>
    <xf numFmtId="0" fontId="8" fillId="4" borderId="32" xfId="0" applyFont="1" applyFill="1" applyBorder="1" applyAlignment="1">
      <alignment horizontal="left" vertical="center"/>
    </xf>
    <xf numFmtId="0" fontId="8" fillId="4" borderId="82" xfId="0" applyFont="1" applyFill="1" applyBorder="1" applyAlignment="1">
      <alignment horizontal="left" vertical="center"/>
    </xf>
    <xf numFmtId="0" fontId="8" fillId="3" borderId="83" xfId="0" applyFont="1" applyFill="1" applyBorder="1" applyAlignment="1" applyProtection="1">
      <alignment horizontal="center" vertical="center"/>
      <protection locked="0"/>
    </xf>
    <xf numFmtId="0" fontId="8" fillId="4" borderId="32" xfId="0" applyFont="1" applyFill="1" applyBorder="1" applyAlignment="1" applyProtection="1">
      <alignment horizontal="center" vertical="center"/>
      <protection locked="0"/>
    </xf>
    <xf numFmtId="0" fontId="24" fillId="3" borderId="32" xfId="0" applyFont="1" applyFill="1" applyBorder="1" applyAlignment="1" applyProtection="1">
      <alignment horizontal="center" vertical="center"/>
      <protection locked="0"/>
    </xf>
    <xf numFmtId="0" fontId="24" fillId="3" borderId="82" xfId="0" applyFont="1" applyFill="1" applyBorder="1" applyAlignment="1" applyProtection="1">
      <alignment horizontal="center" vertical="center"/>
      <protection locked="0"/>
    </xf>
    <xf numFmtId="0" fontId="8" fillId="4" borderId="18"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3" borderId="150" xfId="0" applyFont="1" applyFill="1" applyBorder="1" applyAlignment="1" applyProtection="1">
      <alignment horizontal="center" vertical="center"/>
      <protection locked="0"/>
    </xf>
    <xf numFmtId="0" fontId="8" fillId="3" borderId="151" xfId="0" applyFont="1" applyFill="1" applyBorder="1" applyAlignment="1" applyProtection="1">
      <alignment horizontal="center" vertical="center"/>
      <protection locked="0"/>
    </xf>
    <xf numFmtId="0" fontId="8" fillId="3" borderId="7" xfId="0" applyFont="1" applyFill="1" applyBorder="1" applyAlignment="1" applyProtection="1">
      <alignment horizontal="center" vertical="center"/>
      <protection locked="0"/>
    </xf>
    <xf numFmtId="0" fontId="8" fillId="3" borderId="78" xfId="0" applyFont="1" applyFill="1" applyBorder="1" applyAlignment="1" applyProtection="1">
      <alignment horizontal="center" vertical="center"/>
      <protection locked="0"/>
    </xf>
    <xf numFmtId="0" fontId="8" fillId="3" borderId="32" xfId="0" applyFont="1" applyFill="1" applyBorder="1" applyAlignment="1" applyProtection="1">
      <alignment horizontal="center" vertical="center"/>
      <protection locked="0"/>
    </xf>
    <xf numFmtId="0" fontId="8" fillId="3" borderId="82" xfId="0" applyFont="1" applyFill="1" applyBorder="1" applyAlignment="1" applyProtection="1">
      <alignment horizontal="center" vertical="center"/>
      <protection locked="0"/>
    </xf>
    <xf numFmtId="0" fontId="8" fillId="4" borderId="84" xfId="0" applyFont="1" applyFill="1" applyBorder="1" applyAlignment="1">
      <alignment horizontal="center" vertical="center"/>
    </xf>
    <xf numFmtId="0" fontId="8" fillId="3" borderId="85" xfId="0" applyFont="1" applyFill="1" applyBorder="1" applyAlignment="1" applyProtection="1">
      <alignment horizontal="left" vertical="center"/>
      <protection locked="0"/>
    </xf>
    <xf numFmtId="0" fontId="8" fillId="3" borderId="86" xfId="0" applyFont="1" applyFill="1" applyBorder="1" applyAlignment="1" applyProtection="1">
      <alignment horizontal="left" vertical="center"/>
      <protection locked="0"/>
    </xf>
    <xf numFmtId="0" fontId="8" fillId="3" borderId="87" xfId="0" applyFont="1" applyFill="1" applyBorder="1" applyAlignment="1" applyProtection="1">
      <alignment horizontal="left" vertical="center"/>
      <protection locked="0"/>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9" fillId="3" borderId="88" xfId="0" applyFont="1" applyFill="1" applyBorder="1" applyAlignment="1" applyProtection="1">
      <alignment horizontal="center" vertical="center"/>
      <protection locked="0"/>
    </xf>
    <xf numFmtId="0" fontId="9" fillId="3" borderId="89" xfId="0" applyFont="1" applyFill="1" applyBorder="1" applyAlignment="1" applyProtection="1">
      <alignment horizontal="center" vertical="center"/>
      <protection locked="0"/>
    </xf>
    <xf numFmtId="0" fontId="9" fillId="3" borderId="91" xfId="0" applyFont="1" applyFill="1" applyBorder="1" applyAlignment="1" applyProtection="1">
      <alignment horizontal="center" vertical="center"/>
      <protection locked="0"/>
    </xf>
    <xf numFmtId="0" fontId="9" fillId="3" borderId="92" xfId="0" applyFont="1" applyFill="1" applyBorder="1" applyAlignment="1" applyProtection="1">
      <alignment horizontal="center" vertical="center"/>
      <protection locked="0"/>
    </xf>
    <xf numFmtId="0" fontId="9" fillId="3" borderId="95" xfId="0" applyFont="1" applyFill="1" applyBorder="1" applyAlignment="1" applyProtection="1">
      <alignment horizontal="center" vertical="center"/>
      <protection locked="0"/>
    </xf>
    <xf numFmtId="0" fontId="9" fillId="3" borderId="96" xfId="0" applyFont="1" applyFill="1" applyBorder="1" applyAlignment="1" applyProtection="1">
      <alignment horizontal="center" vertical="center"/>
      <protection locked="0"/>
    </xf>
    <xf numFmtId="0" fontId="8" fillId="4" borderId="7" xfId="0" applyFont="1" applyFill="1" applyBorder="1" applyAlignment="1">
      <alignment horizontal="center" vertical="center" wrapText="1"/>
    </xf>
    <xf numFmtId="0" fontId="8" fillId="4" borderId="42" xfId="0" applyFont="1" applyFill="1" applyBorder="1" applyAlignment="1">
      <alignment horizontal="center" vertical="center" wrapText="1"/>
    </xf>
    <xf numFmtId="0" fontId="8" fillId="4" borderId="0" xfId="0" applyFont="1" applyFill="1" applyAlignment="1">
      <alignment horizontal="center" vertical="center" wrapText="1"/>
    </xf>
    <xf numFmtId="0" fontId="8" fillId="4" borderId="62" xfId="0" applyFont="1" applyFill="1" applyBorder="1" applyAlignment="1">
      <alignment horizontal="center" vertical="center" wrapText="1"/>
    </xf>
    <xf numFmtId="0" fontId="8" fillId="4" borderId="41" xfId="0" applyFont="1" applyFill="1" applyBorder="1" applyAlignment="1">
      <alignment horizontal="center" vertical="center" wrapText="1"/>
    </xf>
    <xf numFmtId="0" fontId="8" fillId="4" borderId="61" xfId="0"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3" borderId="65" xfId="0" applyFont="1" applyFill="1" applyBorder="1" applyAlignment="1" applyProtection="1">
      <alignment horizontal="center" vertical="center" wrapText="1"/>
      <protection locked="0"/>
    </xf>
    <xf numFmtId="0" fontId="8" fillId="3" borderId="66" xfId="0" applyFont="1" applyFill="1" applyBorder="1" applyAlignment="1" applyProtection="1">
      <alignment horizontal="center" vertical="center" wrapText="1"/>
      <protection locked="0"/>
    </xf>
    <xf numFmtId="0" fontId="8" fillId="3" borderId="90" xfId="0" applyFont="1" applyFill="1" applyBorder="1" applyAlignment="1" applyProtection="1">
      <alignment horizontal="center" vertical="center" wrapText="1"/>
      <protection locked="0"/>
    </xf>
    <xf numFmtId="0" fontId="8" fillId="3" borderId="93" xfId="0" applyFont="1" applyFill="1" applyBorder="1" applyAlignment="1" applyProtection="1">
      <alignment horizontal="center" vertical="center" wrapText="1"/>
      <protection locked="0"/>
    </xf>
    <xf numFmtId="0" fontId="8" fillId="3" borderId="0" xfId="0" applyFont="1" applyFill="1" applyAlignment="1" applyProtection="1">
      <alignment horizontal="center" vertical="center" wrapText="1"/>
      <protection locked="0"/>
    </xf>
    <xf numFmtId="0" fontId="8" fillId="3" borderId="94" xfId="0" applyFont="1" applyFill="1" applyBorder="1" applyAlignment="1" applyProtection="1">
      <alignment horizontal="center" vertical="center" wrapText="1"/>
      <protection locked="0"/>
    </xf>
    <xf numFmtId="0" fontId="8" fillId="3" borderId="29" xfId="0" applyFont="1" applyFill="1" applyBorder="1" applyAlignment="1" applyProtection="1">
      <alignment horizontal="center" vertical="center" wrapText="1"/>
      <protection locked="0"/>
    </xf>
    <xf numFmtId="0" fontId="8" fillId="3" borderId="30" xfId="0" applyFont="1" applyFill="1" applyBorder="1" applyAlignment="1" applyProtection="1">
      <alignment horizontal="center" vertical="center" wrapText="1"/>
      <protection locked="0"/>
    </xf>
    <xf numFmtId="0" fontId="8" fillId="3" borderId="98" xfId="0" applyFont="1" applyFill="1" applyBorder="1" applyAlignment="1" applyProtection="1">
      <alignment horizontal="center" vertical="center" wrapText="1"/>
      <protection locked="0"/>
    </xf>
    <xf numFmtId="0" fontId="8" fillId="3" borderId="17" xfId="0" applyFont="1" applyFill="1" applyBorder="1" applyAlignment="1" applyProtection="1">
      <alignment horizontal="center" vertical="center" wrapText="1"/>
      <protection locked="0"/>
    </xf>
    <xf numFmtId="0" fontId="8" fillId="3" borderId="16" xfId="0" applyFont="1" applyFill="1" applyBorder="1" applyAlignment="1" applyProtection="1">
      <alignment horizontal="center" vertical="center" wrapText="1"/>
      <protection locked="0"/>
    </xf>
    <xf numFmtId="0" fontId="8" fillId="4" borderId="18" xfId="0" applyFont="1" applyFill="1" applyBorder="1" applyAlignment="1">
      <alignment horizontal="center" vertical="center"/>
    </xf>
    <xf numFmtId="0" fontId="8" fillId="4" borderId="153" xfId="0" applyFont="1" applyFill="1" applyBorder="1" applyAlignment="1">
      <alignment horizontal="center" vertical="center"/>
    </xf>
    <xf numFmtId="0" fontId="9" fillId="17" borderId="152" xfId="0" applyFont="1" applyFill="1" applyBorder="1" applyAlignment="1" applyProtection="1">
      <alignment horizontal="center" vertical="center"/>
      <protection locked="0"/>
    </xf>
    <xf numFmtId="0" fontId="9" fillId="17" borderId="136" xfId="0" applyFont="1" applyFill="1" applyBorder="1" applyAlignment="1" applyProtection="1">
      <alignment horizontal="center" vertical="center"/>
      <protection locked="0"/>
    </xf>
    <xf numFmtId="0" fontId="8" fillId="4" borderId="59" xfId="0" applyFont="1" applyFill="1" applyBorder="1" applyAlignment="1">
      <alignment horizontal="center" vertical="center"/>
    </xf>
    <xf numFmtId="0" fontId="46" fillId="5" borderId="26" xfId="0" applyFont="1" applyFill="1" applyBorder="1" applyAlignment="1">
      <alignment horizontal="center" vertical="center"/>
    </xf>
    <xf numFmtId="0" fontId="46" fillId="5" borderId="27" xfId="0" applyFont="1" applyFill="1" applyBorder="1" applyAlignment="1">
      <alignment horizontal="center" vertical="center"/>
    </xf>
    <xf numFmtId="0" fontId="46" fillId="5" borderId="68" xfId="0" applyFont="1" applyFill="1" applyBorder="1" applyAlignment="1">
      <alignment horizontal="center" vertical="center"/>
    </xf>
    <xf numFmtId="0" fontId="9" fillId="7" borderId="5" xfId="0" applyFont="1" applyFill="1" applyBorder="1" applyAlignment="1">
      <alignment horizontal="left" vertical="center" wrapText="1"/>
    </xf>
    <xf numFmtId="0" fontId="9" fillId="7" borderId="6" xfId="0" applyFont="1" applyFill="1" applyBorder="1" applyAlignment="1">
      <alignment horizontal="left" vertical="center" wrapText="1"/>
    </xf>
    <xf numFmtId="0" fontId="9" fillId="7" borderId="48" xfId="0" applyFont="1" applyFill="1" applyBorder="1" applyAlignment="1">
      <alignment horizontal="left" vertical="center" wrapText="1"/>
    </xf>
    <xf numFmtId="0" fontId="9" fillId="7" borderId="52" xfId="0" applyFont="1" applyFill="1" applyBorder="1" applyAlignment="1">
      <alignment horizontal="left" vertical="center" wrapText="1"/>
    </xf>
    <xf numFmtId="0" fontId="56" fillId="4" borderId="106" xfId="13" applyFont="1" applyFill="1" applyBorder="1" applyAlignment="1">
      <alignment horizontal="center" vertical="center" wrapText="1" shrinkToFit="1"/>
    </xf>
    <xf numFmtId="0" fontId="56" fillId="4" borderId="107" xfId="13" applyFont="1" applyFill="1" applyBorder="1" applyAlignment="1">
      <alignment horizontal="center" vertical="center" shrinkToFit="1"/>
    </xf>
    <xf numFmtId="0" fontId="56" fillId="4" borderId="3" xfId="13" applyFont="1" applyFill="1" applyBorder="1" applyAlignment="1">
      <alignment horizontal="center" vertical="center" shrinkToFit="1"/>
    </xf>
    <xf numFmtId="0" fontId="56" fillId="4" borderId="5" xfId="13" applyFont="1" applyFill="1" applyBorder="1" applyAlignment="1">
      <alignment horizontal="center" vertical="center" shrinkToFit="1"/>
    </xf>
    <xf numFmtId="0" fontId="56" fillId="4" borderId="6" xfId="13" applyFont="1" applyFill="1" applyBorder="1" applyAlignment="1">
      <alignment horizontal="center" vertical="center" shrinkToFit="1"/>
    </xf>
    <xf numFmtId="0" fontId="56" fillId="4" borderId="4" xfId="13" applyFont="1" applyFill="1" applyBorder="1" applyAlignment="1">
      <alignment horizontal="center" vertical="center" shrinkToFit="1"/>
    </xf>
    <xf numFmtId="0" fontId="56" fillId="4" borderId="41" xfId="13" applyFont="1" applyFill="1" applyBorder="1" applyAlignment="1">
      <alignment horizontal="center" vertical="center" wrapText="1"/>
    </xf>
    <xf numFmtId="0" fontId="56" fillId="4" borderId="42" xfId="13" applyFont="1" applyFill="1" applyBorder="1" applyAlignment="1">
      <alignment horizontal="center" vertical="center" wrapText="1"/>
    </xf>
    <xf numFmtId="0" fontId="56" fillId="4" borderId="61" xfId="13" applyFont="1" applyFill="1" applyBorder="1" applyAlignment="1">
      <alignment horizontal="center" vertical="center" wrapText="1"/>
    </xf>
    <xf numFmtId="0" fontId="56" fillId="4" borderId="62" xfId="13" applyFont="1" applyFill="1" applyBorder="1" applyAlignment="1">
      <alignment horizontal="center" vertical="center" wrapText="1"/>
    </xf>
    <xf numFmtId="0" fontId="56" fillId="4" borderId="2" xfId="13" applyFont="1" applyFill="1" applyBorder="1" applyAlignment="1">
      <alignment horizontal="center" vertical="center" wrapText="1"/>
    </xf>
    <xf numFmtId="0" fontId="56" fillId="4" borderId="107" xfId="13" applyFont="1" applyFill="1" applyBorder="1" applyAlignment="1">
      <alignment horizontal="center" vertical="center" wrapText="1"/>
    </xf>
    <xf numFmtId="0" fontId="56" fillId="20" borderId="1" xfId="13" applyFont="1" applyFill="1" applyBorder="1" applyAlignment="1">
      <alignment horizontal="center" vertical="center" wrapText="1"/>
    </xf>
    <xf numFmtId="0" fontId="56" fillId="19" borderId="1" xfId="13" applyFont="1" applyFill="1" applyBorder="1" applyAlignment="1">
      <alignment horizontal="center" vertical="center" wrapText="1"/>
    </xf>
    <xf numFmtId="0" fontId="56" fillId="21" borderId="2" xfId="13" applyFont="1" applyFill="1" applyBorder="1" applyAlignment="1">
      <alignment horizontal="center" vertical="center" wrapText="1"/>
    </xf>
    <xf numFmtId="0" fontId="56" fillId="21" borderId="107" xfId="13" applyFont="1" applyFill="1" applyBorder="1" applyAlignment="1">
      <alignment horizontal="center" vertical="center" wrapText="1"/>
    </xf>
    <xf numFmtId="0" fontId="65" fillId="4" borderId="1" xfId="13" applyFont="1" applyFill="1" applyBorder="1" applyAlignment="1">
      <alignment horizontal="center" vertical="center" wrapText="1"/>
    </xf>
    <xf numFmtId="0" fontId="65" fillId="4" borderId="1" xfId="13" applyFont="1" applyFill="1" applyBorder="1" applyAlignment="1">
      <alignment horizontal="center" vertical="center"/>
    </xf>
    <xf numFmtId="0" fontId="65" fillId="4" borderId="2" xfId="13" applyFont="1" applyFill="1" applyBorder="1" applyAlignment="1">
      <alignment horizontal="center" vertical="center"/>
    </xf>
    <xf numFmtId="0" fontId="66" fillId="20" borderId="2" xfId="13" applyFont="1" applyFill="1" applyBorder="1" applyAlignment="1">
      <alignment horizontal="center" vertical="center"/>
    </xf>
    <xf numFmtId="0" fontId="66" fillId="19" borderId="2" xfId="13" applyFont="1" applyFill="1" applyBorder="1" applyAlignment="1">
      <alignment horizontal="center" vertical="center"/>
    </xf>
    <xf numFmtId="0" fontId="61" fillId="9" borderId="2" xfId="13" applyFont="1" applyFill="1" applyBorder="1" applyAlignment="1">
      <alignment horizontal="center" vertical="center"/>
    </xf>
    <xf numFmtId="0" fontId="61" fillId="9" borderId="107" xfId="13" applyFont="1" applyFill="1" applyBorder="1" applyAlignment="1">
      <alignment horizontal="center" vertical="center"/>
    </xf>
    <xf numFmtId="0" fontId="61" fillId="9" borderId="3" xfId="13" applyFont="1" applyFill="1" applyBorder="1" applyAlignment="1">
      <alignment horizontal="center" vertical="center"/>
    </xf>
    <xf numFmtId="0" fontId="67" fillId="9" borderId="41" xfId="13" applyFont="1" applyFill="1" applyBorder="1" applyAlignment="1">
      <alignment horizontal="right" vertical="center" wrapText="1"/>
    </xf>
    <xf numFmtId="0" fontId="67" fillId="9" borderId="42" xfId="13" applyFont="1" applyFill="1" applyBorder="1" applyAlignment="1">
      <alignment horizontal="right" vertical="center"/>
    </xf>
    <xf numFmtId="0" fontId="67" fillId="9" borderId="61" xfId="13" applyFont="1" applyFill="1" applyBorder="1" applyAlignment="1">
      <alignment horizontal="right" vertical="center"/>
    </xf>
    <xf numFmtId="0" fontId="67" fillId="9" borderId="62" xfId="13" applyFont="1" applyFill="1" applyBorder="1" applyAlignment="1">
      <alignment horizontal="right" vertical="center"/>
    </xf>
    <xf numFmtId="0" fontId="57" fillId="18" borderId="5" xfId="13" applyFont="1" applyFill="1" applyBorder="1" applyAlignment="1">
      <alignment horizontal="center" vertical="center" shrinkToFit="1"/>
    </xf>
    <xf numFmtId="0" fontId="57" fillId="18" borderId="4" xfId="13" applyFont="1" applyFill="1" applyBorder="1" applyAlignment="1">
      <alignment horizontal="center" vertical="center" shrinkToFit="1"/>
    </xf>
    <xf numFmtId="0" fontId="57" fillId="18" borderId="112" xfId="13" applyFont="1" applyFill="1" applyBorder="1" applyAlignment="1">
      <alignment horizontal="center" vertical="center"/>
    </xf>
    <xf numFmtId="0" fontId="57" fillId="18" borderId="113" xfId="13" applyFont="1" applyFill="1" applyBorder="1" applyAlignment="1">
      <alignment horizontal="center" vertical="center"/>
    </xf>
    <xf numFmtId="0" fontId="57" fillId="18" borderId="114" xfId="13" applyFont="1" applyFill="1" applyBorder="1" applyAlignment="1">
      <alignment horizontal="center" vertical="center"/>
    </xf>
    <xf numFmtId="0" fontId="67" fillId="9" borderId="115" xfId="13" applyFont="1" applyFill="1" applyBorder="1" applyAlignment="1">
      <alignment horizontal="right" vertical="center" wrapText="1"/>
    </xf>
    <xf numFmtId="0" fontId="67" fillId="9" borderId="116" xfId="13" applyFont="1" applyFill="1" applyBorder="1" applyAlignment="1">
      <alignment horizontal="right" vertical="center"/>
    </xf>
    <xf numFmtId="0" fontId="67" fillId="9" borderId="54" xfId="13" applyFont="1" applyFill="1" applyBorder="1" applyAlignment="1">
      <alignment horizontal="right" vertical="center"/>
    </xf>
    <xf numFmtId="0" fontId="67" fillId="9" borderId="105" xfId="13" applyFont="1" applyFill="1" applyBorder="1" applyAlignment="1">
      <alignment horizontal="right" vertical="center"/>
    </xf>
    <xf numFmtId="0" fontId="11" fillId="4" borderId="117" xfId="13" applyFont="1" applyFill="1" applyBorder="1" applyAlignment="1">
      <alignment horizontal="left" vertical="center"/>
    </xf>
    <xf numFmtId="0" fontId="11" fillId="4" borderId="118" xfId="13" applyFont="1" applyFill="1" applyBorder="1" applyAlignment="1">
      <alignment horizontal="left" vertical="center"/>
    </xf>
    <xf numFmtId="0" fontId="11" fillId="4" borderId="119" xfId="13" applyFont="1" applyFill="1" applyBorder="1" applyAlignment="1">
      <alignment horizontal="left" vertical="center"/>
    </xf>
    <xf numFmtId="0" fontId="56" fillId="4" borderId="5" xfId="13" applyFont="1" applyFill="1" applyBorder="1" applyAlignment="1">
      <alignment horizontal="left" vertical="center"/>
    </xf>
    <xf numFmtId="0" fontId="56" fillId="4" borderId="6" xfId="13" applyFont="1" applyFill="1" applyBorder="1" applyAlignment="1">
      <alignment horizontal="left" vertical="center"/>
    </xf>
    <xf numFmtId="0" fontId="56" fillId="4" borderId="4" xfId="13" applyFont="1" applyFill="1" applyBorder="1" applyAlignment="1">
      <alignment horizontal="left" vertical="center"/>
    </xf>
    <xf numFmtId="0" fontId="57" fillId="4" borderId="5" xfId="13" applyFont="1" applyFill="1" applyBorder="1" applyAlignment="1">
      <alignment horizontal="left" vertical="center"/>
    </xf>
    <xf numFmtId="0" fontId="57" fillId="4" borderId="6" xfId="13" applyFont="1" applyFill="1" applyBorder="1" applyAlignment="1">
      <alignment horizontal="left" vertical="center"/>
    </xf>
    <xf numFmtId="0" fontId="57" fillId="4" borderId="4" xfId="13" applyFont="1" applyFill="1" applyBorder="1" applyAlignment="1">
      <alignment horizontal="left" vertical="center"/>
    </xf>
    <xf numFmtId="0" fontId="80" fillId="4" borderId="5" xfId="13" applyFont="1" applyFill="1" applyBorder="1" applyAlignment="1">
      <alignment horizontal="center" vertical="center" wrapText="1"/>
    </xf>
    <xf numFmtId="0" fontId="80" fillId="4" borderId="6" xfId="13" applyFont="1" applyFill="1" applyBorder="1" applyAlignment="1">
      <alignment horizontal="center" vertical="center" wrapText="1"/>
    </xf>
    <xf numFmtId="0" fontId="80" fillId="4" borderId="4" xfId="13" applyFont="1" applyFill="1" applyBorder="1" applyAlignment="1">
      <alignment horizontal="center" vertical="center" wrapText="1"/>
    </xf>
    <xf numFmtId="0" fontId="65" fillId="4" borderId="6" xfId="13" applyFont="1" applyFill="1" applyBorder="1" applyAlignment="1">
      <alignment horizontal="center" vertical="center" wrapText="1"/>
    </xf>
    <xf numFmtId="0" fontId="31" fillId="22" borderId="41" xfId="14" applyFont="1" applyFill="1" applyBorder="1" applyAlignment="1" applyProtection="1">
      <alignment horizontal="center" vertical="center" wrapText="1"/>
      <protection locked="0"/>
    </xf>
    <xf numFmtId="0" fontId="31" fillId="22" borderId="7" xfId="14" applyFont="1" applyFill="1" applyBorder="1" applyAlignment="1" applyProtection="1">
      <alignment horizontal="center" vertical="center" wrapText="1"/>
      <protection locked="0"/>
    </xf>
    <xf numFmtId="0" fontId="31" fillId="22" borderId="42" xfId="14" applyFont="1" applyFill="1" applyBorder="1" applyAlignment="1" applyProtection="1">
      <alignment horizontal="center" vertical="center" wrapText="1"/>
      <protection locked="0"/>
    </xf>
    <xf numFmtId="0" fontId="76" fillId="22" borderId="41" xfId="14" applyFont="1" applyFill="1" applyBorder="1" applyAlignment="1" applyProtection="1">
      <alignment horizontal="left" vertical="top" wrapText="1"/>
      <protection locked="0"/>
    </xf>
    <xf numFmtId="0" fontId="76" fillId="22" borderId="7" xfId="14" applyFont="1" applyFill="1" applyBorder="1" applyAlignment="1" applyProtection="1">
      <alignment horizontal="left" vertical="top" wrapText="1"/>
      <protection locked="0"/>
    </xf>
    <xf numFmtId="0" fontId="76" fillId="22" borderId="42" xfId="14" applyFont="1" applyFill="1" applyBorder="1" applyAlignment="1" applyProtection="1">
      <alignment horizontal="left" vertical="top" wrapText="1"/>
      <protection locked="0"/>
    </xf>
    <xf numFmtId="0" fontId="76" fillId="22" borderId="61" xfId="14" applyFont="1" applyFill="1" applyBorder="1" applyAlignment="1" applyProtection="1">
      <alignment horizontal="left" vertical="top" wrapText="1"/>
      <protection locked="0"/>
    </xf>
    <xf numFmtId="0" fontId="76" fillId="22" borderId="0" xfId="14" applyFont="1" applyFill="1" applyAlignment="1" applyProtection="1">
      <alignment horizontal="left" vertical="top" wrapText="1"/>
      <protection locked="0"/>
    </xf>
    <xf numFmtId="0" fontId="76" fillId="22" borderId="62" xfId="14" applyFont="1" applyFill="1" applyBorder="1" applyAlignment="1" applyProtection="1">
      <alignment horizontal="left" vertical="top" wrapText="1"/>
      <protection locked="0"/>
    </xf>
    <xf numFmtId="0" fontId="74" fillId="22" borderId="41" xfId="14" applyFont="1" applyFill="1" applyBorder="1" applyAlignment="1">
      <alignment horizontal="center" vertical="center" wrapText="1"/>
    </xf>
    <xf numFmtId="0" fontId="74" fillId="22" borderId="7" xfId="14" applyFont="1" applyFill="1" applyBorder="1" applyAlignment="1">
      <alignment horizontal="center" vertical="center" wrapText="1"/>
    </xf>
    <xf numFmtId="0" fontId="74" fillId="22" borderId="42" xfId="14" applyFont="1" applyFill="1" applyBorder="1" applyAlignment="1">
      <alignment horizontal="center" vertical="center" wrapText="1"/>
    </xf>
    <xf numFmtId="0" fontId="76" fillId="22" borderId="120" xfId="14" applyFont="1" applyFill="1" applyBorder="1" applyAlignment="1">
      <alignment horizontal="right" vertical="center" wrapText="1"/>
    </xf>
    <xf numFmtId="0" fontId="76" fillId="22" borderId="6" xfId="14" applyFont="1" applyFill="1" applyBorder="1" applyAlignment="1">
      <alignment horizontal="right" vertical="center" wrapText="1"/>
    </xf>
    <xf numFmtId="0" fontId="76" fillId="22" borderId="121" xfId="14" applyFont="1" applyFill="1" applyBorder="1" applyAlignment="1">
      <alignment horizontal="right" vertical="center" wrapText="1"/>
    </xf>
    <xf numFmtId="0" fontId="65" fillId="4" borderId="5" xfId="13" applyFont="1" applyFill="1" applyBorder="1" applyAlignment="1">
      <alignment horizontal="center" vertical="center" wrapText="1"/>
    </xf>
    <xf numFmtId="0" fontId="65" fillId="4" borderId="4" xfId="13" applyFont="1" applyFill="1" applyBorder="1" applyAlignment="1">
      <alignment horizontal="center" vertical="center" wrapText="1"/>
    </xf>
    <xf numFmtId="0" fontId="56" fillId="4" borderId="2" xfId="0" applyFont="1" applyFill="1" applyBorder="1" applyAlignment="1">
      <alignment horizontal="center" vertical="center" wrapText="1"/>
    </xf>
    <xf numFmtId="0" fontId="56" fillId="4" borderId="3" xfId="0" applyFont="1" applyFill="1" applyBorder="1" applyAlignment="1">
      <alignment horizontal="center" vertical="center" wrapText="1"/>
    </xf>
    <xf numFmtId="0" fontId="56" fillId="4" borderId="1" xfId="0" applyFont="1" applyFill="1" applyBorder="1" applyAlignment="1">
      <alignment horizontal="center" vertical="center" wrapText="1"/>
    </xf>
    <xf numFmtId="0" fontId="56" fillId="4" borderId="42" xfId="0" applyFont="1" applyFill="1" applyBorder="1" applyAlignment="1">
      <alignment horizontal="center" vertical="center" wrapText="1"/>
    </xf>
    <xf numFmtId="0" fontId="56" fillId="4" borderId="62" xfId="0" applyFont="1" applyFill="1" applyBorder="1" applyAlignment="1">
      <alignment horizontal="center" vertical="center" wrapText="1"/>
    </xf>
    <xf numFmtId="0" fontId="56" fillId="4" borderId="105" xfId="0" applyFont="1" applyFill="1" applyBorder="1" applyAlignment="1">
      <alignment horizontal="center" vertical="center" wrapText="1"/>
    </xf>
    <xf numFmtId="0" fontId="56" fillId="4" borderId="5" xfId="0" applyFont="1" applyFill="1" applyBorder="1" applyAlignment="1">
      <alignment horizontal="center" vertical="center"/>
    </xf>
    <xf numFmtId="0" fontId="56" fillId="4" borderId="6" xfId="0" applyFont="1" applyFill="1" applyBorder="1" applyAlignment="1">
      <alignment horizontal="center" vertical="center"/>
    </xf>
    <xf numFmtId="0" fontId="56" fillId="4" borderId="59" xfId="0" applyFont="1" applyFill="1" applyBorder="1" applyAlignment="1">
      <alignment horizontal="center" vertical="center"/>
    </xf>
    <xf numFmtId="0" fontId="56" fillId="4" borderId="4" xfId="0" applyFont="1" applyFill="1" applyBorder="1" applyAlignment="1">
      <alignment horizontal="center" vertical="center"/>
    </xf>
    <xf numFmtId="0" fontId="56" fillId="4" borderId="1" xfId="0" applyFont="1" applyFill="1" applyBorder="1" applyAlignment="1">
      <alignment horizontal="center" vertical="center"/>
    </xf>
    <xf numFmtId="0" fontId="87" fillId="20" borderId="1" xfId="0" applyFont="1" applyFill="1" applyBorder="1" applyAlignment="1">
      <alignment horizontal="center" vertical="center" shrinkToFit="1"/>
    </xf>
    <xf numFmtId="0" fontId="88" fillId="27" borderId="0" xfId="0" applyFont="1" applyFill="1" applyAlignment="1">
      <alignment horizontal="center" vertical="center" wrapText="1"/>
    </xf>
    <xf numFmtId="0" fontId="57" fillId="4" borderId="1" xfId="0" applyFont="1" applyFill="1" applyBorder="1" applyAlignment="1">
      <alignment horizontal="center" vertical="center"/>
    </xf>
    <xf numFmtId="0" fontId="56" fillId="4" borderId="5" xfId="0" applyFont="1" applyFill="1" applyBorder="1" applyAlignment="1">
      <alignment horizontal="center" vertical="center" wrapText="1"/>
    </xf>
    <xf numFmtId="0" fontId="56" fillId="4" borderId="4" xfId="0" applyFont="1" applyFill="1" applyBorder="1" applyAlignment="1">
      <alignment horizontal="center" vertical="center" wrapText="1"/>
    </xf>
    <xf numFmtId="0" fontId="56" fillId="4" borderId="122" xfId="0" applyFont="1" applyFill="1" applyBorder="1" applyAlignment="1">
      <alignment horizontal="center" vertical="center"/>
    </xf>
    <xf numFmtId="0" fontId="56" fillId="4" borderId="122" xfId="0" applyFont="1" applyFill="1" applyBorder="1" applyAlignment="1">
      <alignment horizontal="center" vertical="center" wrapText="1"/>
    </xf>
    <xf numFmtId="0" fontId="92" fillId="4" borderId="1" xfId="0" applyFont="1" applyFill="1" applyBorder="1" applyAlignment="1">
      <alignment horizontal="center" vertical="center"/>
    </xf>
    <xf numFmtId="0" fontId="92" fillId="4" borderId="2" xfId="0" applyFont="1" applyFill="1" applyBorder="1" applyAlignment="1">
      <alignment horizontal="center" vertical="center"/>
    </xf>
    <xf numFmtId="0" fontId="92" fillId="4" borderId="107" xfId="0" applyFont="1" applyFill="1" applyBorder="1" applyAlignment="1">
      <alignment horizontal="center" vertical="center"/>
    </xf>
    <xf numFmtId="0" fontId="92" fillId="4" borderId="3" xfId="0" applyFont="1" applyFill="1" applyBorder="1" applyAlignment="1">
      <alignment horizontal="center" vertical="center"/>
    </xf>
    <xf numFmtId="0" fontId="56" fillId="4" borderId="37" xfId="0" applyFont="1" applyFill="1" applyBorder="1" applyAlignment="1">
      <alignment horizontal="center" vertical="center" wrapText="1"/>
    </xf>
    <xf numFmtId="0" fontId="91" fillId="28" borderId="5" xfId="0" applyFont="1" applyFill="1" applyBorder="1" applyAlignment="1">
      <alignment horizontal="center" vertical="center" wrapText="1"/>
    </xf>
    <xf numFmtId="0" fontId="91" fillId="28" borderId="6" xfId="0" applyFont="1" applyFill="1" applyBorder="1" applyAlignment="1">
      <alignment horizontal="center" vertical="center" wrapText="1"/>
    </xf>
    <xf numFmtId="0" fontId="91" fillId="28" borderId="4" xfId="0" applyFont="1" applyFill="1" applyBorder="1" applyAlignment="1">
      <alignment horizontal="center" vertical="center" wrapText="1"/>
    </xf>
    <xf numFmtId="0" fontId="94" fillId="28" borderId="5" xfId="0" applyFont="1" applyFill="1" applyBorder="1" applyAlignment="1">
      <alignment horizontal="center" vertical="center"/>
    </xf>
    <xf numFmtId="0" fontId="94" fillId="28" borderId="6" xfId="0" applyFont="1" applyFill="1" applyBorder="1" applyAlignment="1">
      <alignment horizontal="center" vertical="center"/>
    </xf>
    <xf numFmtId="0" fontId="94" fillId="28" borderId="4" xfId="0" applyFont="1" applyFill="1" applyBorder="1" applyAlignment="1">
      <alignment horizontal="center" vertical="center"/>
    </xf>
    <xf numFmtId="0" fontId="101" fillId="0" borderId="0" xfId="0" applyFont="1" applyAlignment="1">
      <alignment horizontal="center" vertical="center"/>
    </xf>
    <xf numFmtId="0" fontId="91" fillId="0" borderId="9" xfId="0" applyFont="1" applyBorder="1" applyAlignment="1">
      <alignment horizontal="center" vertical="center"/>
    </xf>
    <xf numFmtId="0" fontId="91" fillId="0" borderId="11" xfId="0" applyFont="1" applyBorder="1" applyAlignment="1">
      <alignment horizontal="center" vertical="center"/>
    </xf>
    <xf numFmtId="0" fontId="91" fillId="0" borderId="35" xfId="0" applyFont="1" applyBorder="1" applyAlignment="1">
      <alignment horizontal="center" vertical="center"/>
    </xf>
    <xf numFmtId="0" fontId="91" fillId="4" borderId="5" xfId="0" applyFont="1" applyFill="1" applyBorder="1" applyAlignment="1">
      <alignment horizontal="center" vertical="center"/>
    </xf>
    <xf numFmtId="0" fontId="91" fillId="4" borderId="6" xfId="0" applyFont="1" applyFill="1" applyBorder="1" applyAlignment="1">
      <alignment horizontal="center" vertical="center"/>
    </xf>
    <xf numFmtId="0" fontId="91" fillId="4" borderId="4" xfId="0" applyFont="1" applyFill="1" applyBorder="1" applyAlignment="1">
      <alignment horizontal="center" vertical="center"/>
    </xf>
    <xf numFmtId="0" fontId="94" fillId="4" borderId="5" xfId="0" applyFont="1" applyFill="1" applyBorder="1" applyAlignment="1">
      <alignment horizontal="center" vertical="center"/>
    </xf>
    <xf numFmtId="0" fontId="94" fillId="4" borderId="6" xfId="0" applyFont="1" applyFill="1" applyBorder="1" applyAlignment="1">
      <alignment horizontal="center" vertical="center"/>
    </xf>
    <xf numFmtId="0" fontId="94" fillId="4" borderId="4" xfId="0" applyFont="1" applyFill="1" applyBorder="1" applyAlignment="1">
      <alignment horizontal="center" vertical="center"/>
    </xf>
    <xf numFmtId="0" fontId="91" fillId="0" borderId="124" xfId="0" applyFont="1" applyBorder="1" applyAlignment="1">
      <alignment horizontal="center" vertical="center"/>
    </xf>
    <xf numFmtId="0" fontId="66" fillId="0" borderId="26" xfId="0" applyFont="1" applyBorder="1" applyAlignment="1">
      <alignment horizontal="center" vertical="center" wrapText="1" shrinkToFit="1"/>
    </xf>
    <xf numFmtId="0" fontId="66" fillId="0" borderId="27" xfId="0" applyFont="1" applyBorder="1" applyAlignment="1">
      <alignment horizontal="center" vertical="center" wrapText="1" shrinkToFit="1"/>
    </xf>
    <xf numFmtId="0" fontId="66" fillId="0" borderId="68" xfId="0" applyFont="1" applyBorder="1" applyAlignment="1">
      <alignment horizontal="center" vertical="center" wrapText="1" shrinkToFit="1"/>
    </xf>
    <xf numFmtId="0" fontId="70" fillId="0" borderId="5" xfId="0" applyFont="1" applyBorder="1" applyAlignment="1">
      <alignment horizontal="center" vertical="center"/>
    </xf>
    <xf numFmtId="0" fontId="70" fillId="0" borderId="4" xfId="0" applyFont="1" applyBorder="1" applyAlignment="1">
      <alignment horizontal="center" vertical="center"/>
    </xf>
    <xf numFmtId="179" fontId="102" fillId="0" borderId="1" xfId="1" applyNumberFormat="1" applyFont="1" applyFill="1" applyBorder="1" applyAlignment="1" applyProtection="1">
      <alignment horizontal="center" vertical="center"/>
    </xf>
    <xf numFmtId="179" fontId="102" fillId="29" borderId="1" xfId="1" applyNumberFormat="1" applyFont="1" applyFill="1" applyBorder="1" applyAlignment="1" applyProtection="1">
      <alignment horizontal="center" vertical="center"/>
    </xf>
    <xf numFmtId="0" fontId="70" fillId="0" borderId="48" xfId="0" applyFont="1" applyBorder="1" applyAlignment="1">
      <alignment horizontal="center" vertical="center"/>
    </xf>
    <xf numFmtId="0" fontId="70" fillId="0" borderId="103" xfId="0" applyFont="1" applyBorder="1" applyAlignment="1">
      <alignment horizontal="center" vertical="center"/>
    </xf>
    <xf numFmtId="179" fontId="102" fillId="0" borderId="47" xfId="1" applyNumberFormat="1" applyFont="1" applyFill="1" applyBorder="1" applyAlignment="1" applyProtection="1">
      <alignment horizontal="center" vertical="center"/>
    </xf>
    <xf numFmtId="179" fontId="102" fillId="29" borderId="47" xfId="1" applyNumberFormat="1" applyFont="1" applyFill="1" applyBorder="1" applyAlignment="1" applyProtection="1">
      <alignment horizontal="center" vertical="center"/>
    </xf>
    <xf numFmtId="179" fontId="102" fillId="29" borderId="125" xfId="1" applyNumberFormat="1" applyFont="1" applyFill="1" applyBorder="1" applyAlignment="1" applyProtection="1">
      <alignment horizontal="center" vertical="center"/>
    </xf>
    <xf numFmtId="179" fontId="102" fillId="29" borderId="122" xfId="1" applyNumberFormat="1" applyFont="1" applyFill="1" applyBorder="1" applyAlignment="1" applyProtection="1">
      <alignment horizontal="center" vertical="center"/>
    </xf>
    <xf numFmtId="0" fontId="66" fillId="0" borderId="126"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68" xfId="0" applyFont="1" applyBorder="1" applyAlignment="1">
      <alignment horizontal="center" vertical="center" wrapText="1"/>
    </xf>
    <xf numFmtId="41" fontId="11" fillId="0" borderId="11" xfId="1" applyFont="1" applyFill="1" applyBorder="1" applyAlignment="1" applyProtection="1">
      <alignment horizontal="center" wrapText="1"/>
    </xf>
    <xf numFmtId="41" fontId="11" fillId="0" borderId="35" xfId="1" applyFont="1" applyFill="1" applyBorder="1" applyAlignment="1" applyProtection="1">
      <alignment horizontal="center" wrapText="1"/>
    </xf>
    <xf numFmtId="41" fontId="11" fillId="0" borderId="127" xfId="1" applyFont="1" applyFill="1" applyBorder="1" applyAlignment="1" applyProtection="1">
      <alignment horizontal="center" vertical="center" wrapText="1"/>
    </xf>
    <xf numFmtId="41" fontId="11" fillId="0" borderId="128" xfId="1" applyFont="1" applyFill="1" applyBorder="1" applyAlignment="1" applyProtection="1">
      <alignment horizontal="center" vertical="center" wrapText="1"/>
    </xf>
    <xf numFmtId="41" fontId="11" fillId="0" borderId="61" xfId="1" applyFont="1" applyFill="1" applyBorder="1" applyAlignment="1" applyProtection="1">
      <alignment horizontal="center" vertical="center" wrapText="1"/>
    </xf>
    <xf numFmtId="41" fontId="11" fillId="0" borderId="62" xfId="1" applyFont="1" applyFill="1" applyBorder="1" applyAlignment="1" applyProtection="1">
      <alignment horizontal="center" vertical="center" wrapText="1"/>
    </xf>
    <xf numFmtId="41" fontId="11" fillId="0" borderId="54" xfId="1" applyFont="1" applyFill="1" applyBorder="1" applyAlignment="1" applyProtection="1">
      <alignment horizontal="center" vertical="center" wrapText="1"/>
    </xf>
    <xf numFmtId="41" fontId="11" fillId="0" borderId="105" xfId="1" applyFont="1" applyFill="1" applyBorder="1" applyAlignment="1" applyProtection="1">
      <alignment horizontal="center" vertical="center" wrapText="1"/>
    </xf>
    <xf numFmtId="2" fontId="102" fillId="29" borderId="35" xfId="0" applyNumberFormat="1" applyFont="1" applyFill="1" applyBorder="1" applyAlignment="1">
      <alignment horizontal="center" vertical="center"/>
    </xf>
    <xf numFmtId="41" fontId="11" fillId="0" borderId="4" xfId="1" applyFont="1" applyFill="1" applyBorder="1" applyAlignment="1" applyProtection="1">
      <alignment horizontal="center" wrapText="1"/>
    </xf>
    <xf numFmtId="41" fontId="11" fillId="0" borderId="1" xfId="1" applyFont="1" applyFill="1" applyBorder="1" applyAlignment="1" applyProtection="1">
      <alignment horizontal="center" wrapText="1"/>
    </xf>
    <xf numFmtId="2" fontId="102" fillId="29" borderId="1" xfId="0" applyNumberFormat="1" applyFont="1" applyFill="1" applyBorder="1" applyAlignment="1">
      <alignment horizontal="center" vertical="center"/>
    </xf>
    <xf numFmtId="0" fontId="70" fillId="0" borderId="47" xfId="0" applyFont="1" applyBorder="1" applyAlignment="1">
      <alignment horizontal="center" vertical="center"/>
    </xf>
    <xf numFmtId="41" fontId="66" fillId="0" borderId="47" xfId="1" applyFont="1" applyFill="1" applyBorder="1" applyAlignment="1" applyProtection="1">
      <alignment horizontal="center" vertical="center"/>
    </xf>
    <xf numFmtId="41" fontId="61" fillId="29" borderId="47" xfId="0" applyNumberFormat="1" applyFont="1" applyFill="1" applyBorder="1" applyAlignment="1">
      <alignment horizontal="center" vertical="center"/>
    </xf>
    <xf numFmtId="2" fontId="102" fillId="29" borderId="124" xfId="0" applyNumberFormat="1" applyFont="1" applyFill="1" applyBorder="1" applyAlignment="1">
      <alignment horizontal="center" vertical="center"/>
    </xf>
    <xf numFmtId="2" fontId="88" fillId="29" borderId="1" xfId="0" applyNumberFormat="1" applyFont="1" applyFill="1" applyBorder="1" applyAlignment="1">
      <alignment horizontal="center" vertical="center"/>
    </xf>
    <xf numFmtId="2" fontId="88" fillId="29" borderId="122" xfId="0" applyNumberFormat="1" applyFont="1" applyFill="1" applyBorder="1" applyAlignment="1">
      <alignment horizontal="center" vertical="center"/>
    </xf>
    <xf numFmtId="41" fontId="66" fillId="0" borderId="1" xfId="1" applyFont="1" applyFill="1" applyBorder="1" applyAlignment="1" applyProtection="1">
      <alignment horizontal="center" vertical="center"/>
    </xf>
    <xf numFmtId="41" fontId="102" fillId="29" borderId="1" xfId="0" applyNumberFormat="1" applyFont="1" applyFill="1" applyBorder="1" applyAlignment="1">
      <alignment horizontal="center" vertical="center"/>
    </xf>
    <xf numFmtId="41" fontId="102" fillId="29" borderId="122" xfId="0" applyNumberFormat="1" applyFont="1" applyFill="1" applyBorder="1" applyAlignment="1">
      <alignment horizontal="center" vertical="center"/>
    </xf>
    <xf numFmtId="41" fontId="103" fillId="0" borderId="4" xfId="1" applyFont="1" applyFill="1" applyBorder="1" applyAlignment="1" applyProtection="1">
      <alignment horizontal="center" wrapText="1"/>
    </xf>
    <xf numFmtId="41" fontId="103" fillId="0" borderId="1" xfId="1" applyFont="1" applyFill="1" applyBorder="1" applyAlignment="1" applyProtection="1">
      <alignment horizontal="center" wrapText="1"/>
    </xf>
    <xf numFmtId="0" fontId="91" fillId="0" borderId="5" xfId="0" applyFont="1" applyBorder="1" applyAlignment="1">
      <alignment horizontal="center" vertical="center"/>
    </xf>
    <xf numFmtId="0" fontId="91" fillId="0" borderId="4" xfId="0" applyFont="1" applyBorder="1" applyAlignment="1">
      <alignment horizontal="center" vertical="center"/>
    </xf>
    <xf numFmtId="2" fontId="102" fillId="29" borderId="122" xfId="0" applyNumberFormat="1" applyFont="1" applyFill="1" applyBorder="1" applyAlignment="1">
      <alignment horizontal="center" vertical="center"/>
    </xf>
    <xf numFmtId="41" fontId="61" fillId="29" borderId="125" xfId="0" applyNumberFormat="1" applyFont="1" applyFill="1" applyBorder="1" applyAlignment="1">
      <alignment horizontal="center" vertical="center"/>
    </xf>
    <xf numFmtId="0" fontId="70" fillId="0" borderId="1" xfId="0" applyFont="1" applyBorder="1" applyAlignment="1">
      <alignment horizontal="center" vertical="center"/>
    </xf>
    <xf numFmtId="41" fontId="11" fillId="0" borderId="5" xfId="1" applyFont="1" applyFill="1" applyBorder="1" applyAlignment="1" applyProtection="1">
      <alignment horizontal="center" wrapText="1"/>
    </xf>
    <xf numFmtId="2" fontId="102" fillId="29" borderId="5" xfId="0" applyNumberFormat="1" applyFont="1" applyFill="1" applyBorder="1" applyAlignment="1">
      <alignment horizontal="center" vertical="center"/>
    </xf>
    <xf numFmtId="2" fontId="102" fillId="29" borderId="4" xfId="0" applyNumberFormat="1" applyFont="1" applyFill="1" applyBorder="1" applyAlignment="1">
      <alignment horizontal="center" vertical="center"/>
    </xf>
    <xf numFmtId="2" fontId="102" fillId="29" borderId="59" xfId="0" applyNumberFormat="1" applyFont="1" applyFill="1" applyBorder="1" applyAlignment="1">
      <alignment horizontal="center" vertical="center"/>
    </xf>
    <xf numFmtId="2" fontId="88" fillId="29" borderId="5" xfId="0" applyNumberFormat="1" applyFont="1" applyFill="1" applyBorder="1" applyAlignment="1">
      <alignment horizontal="center" vertical="center"/>
    </xf>
    <xf numFmtId="2" fontId="88" fillId="29" borderId="4" xfId="0" applyNumberFormat="1" applyFont="1" applyFill="1" applyBorder="1" applyAlignment="1">
      <alignment horizontal="center" vertical="center"/>
    </xf>
    <xf numFmtId="41" fontId="70" fillId="0" borderId="0" xfId="0" applyNumberFormat="1" applyFont="1" applyAlignment="1">
      <alignment horizontal="center" vertical="center"/>
    </xf>
    <xf numFmtId="0" fontId="66" fillId="0" borderId="5" xfId="0" applyFont="1" applyBorder="1" applyAlignment="1">
      <alignment horizontal="center" vertical="center"/>
    </xf>
    <xf numFmtId="0" fontId="66" fillId="0" borderId="4" xfId="0" applyFont="1" applyBorder="1" applyAlignment="1">
      <alignment horizontal="center" vertical="center"/>
    </xf>
    <xf numFmtId="0" fontId="66" fillId="7" borderId="1" xfId="0" applyFont="1" applyFill="1" applyBorder="1" applyAlignment="1">
      <alignment horizontal="center" vertical="center"/>
    </xf>
    <xf numFmtId="0" fontId="66" fillId="7" borderId="5" xfId="0" applyFont="1" applyFill="1" applyBorder="1" applyAlignment="1">
      <alignment horizontal="center" vertical="center"/>
    </xf>
    <xf numFmtId="0" fontId="66" fillId="7" borderId="5" xfId="0" applyFont="1" applyFill="1" applyBorder="1" applyAlignment="1">
      <alignment horizontal="center" vertical="center" wrapText="1"/>
    </xf>
    <xf numFmtId="0" fontId="66" fillId="7" borderId="6" xfId="0" applyFont="1" applyFill="1" applyBorder="1" applyAlignment="1">
      <alignment horizontal="center" vertical="center" wrapText="1"/>
    </xf>
    <xf numFmtId="0" fontId="66" fillId="7" borderId="4" xfId="0" applyFont="1" applyFill="1" applyBorder="1" applyAlignment="1">
      <alignment horizontal="center" vertical="center" wrapText="1"/>
    </xf>
    <xf numFmtId="0" fontId="104" fillId="20" borderId="1" xfId="0" applyFont="1" applyFill="1" applyBorder="1" applyAlignment="1">
      <alignment horizontal="center" vertical="center"/>
    </xf>
    <xf numFmtId="0" fontId="104" fillId="20" borderId="5" xfId="0" applyFont="1" applyFill="1" applyBorder="1" applyAlignment="1">
      <alignment horizontal="center" vertical="center"/>
    </xf>
    <xf numFmtId="41" fontId="104" fillId="20" borderId="1" xfId="1" applyFont="1" applyFill="1" applyBorder="1" applyAlignment="1" applyProtection="1">
      <alignment horizontal="right" vertical="center" wrapText="1" shrinkToFit="1"/>
    </xf>
    <xf numFmtId="41" fontId="105" fillId="20" borderId="1" xfId="0" applyNumberFormat="1" applyFont="1" applyFill="1" applyBorder="1" applyAlignment="1">
      <alignment horizontal="center" vertical="center" wrapText="1" shrinkToFit="1"/>
    </xf>
    <xf numFmtId="0" fontId="99" fillId="0" borderId="69" xfId="0" applyFont="1" applyBorder="1" applyAlignment="1">
      <alignment horizontal="center" vertical="center"/>
    </xf>
    <xf numFmtId="0" fontId="99" fillId="0" borderId="70" xfId="0" applyFont="1" applyBorder="1" applyAlignment="1">
      <alignment horizontal="center" vertical="center"/>
    </xf>
    <xf numFmtId="0" fontId="104" fillId="20" borderId="47" xfId="0" applyFont="1" applyFill="1" applyBorder="1" applyAlignment="1">
      <alignment horizontal="center" vertical="center" wrapText="1" shrinkToFit="1"/>
    </xf>
    <xf numFmtId="0" fontId="104" fillId="20" borderId="48" xfId="0" applyFont="1" applyFill="1" applyBorder="1" applyAlignment="1">
      <alignment horizontal="center" vertical="center" wrapText="1" shrinkToFit="1"/>
    </xf>
    <xf numFmtId="41" fontId="104" fillId="20" borderId="47" xfId="1" applyFont="1" applyFill="1" applyBorder="1" applyAlignment="1" applyProtection="1">
      <alignment horizontal="right" vertical="center" wrapText="1" shrinkToFit="1"/>
    </xf>
    <xf numFmtId="41" fontId="105" fillId="20" borderId="129" xfId="0" applyNumberFormat="1" applyFont="1" applyFill="1" applyBorder="1" applyAlignment="1">
      <alignment horizontal="left" vertical="center" wrapText="1" shrinkToFit="1"/>
    </xf>
    <xf numFmtId="0" fontId="104" fillId="7" borderId="117" xfId="0" applyFont="1" applyFill="1" applyBorder="1" applyAlignment="1">
      <alignment horizontal="center" vertical="center" wrapText="1" shrinkToFit="1"/>
    </xf>
    <xf numFmtId="0" fontId="104" fillId="7" borderId="118" xfId="0" applyFont="1" applyFill="1" applyBorder="1" applyAlignment="1">
      <alignment horizontal="center" vertical="center" wrapText="1" shrinkToFit="1"/>
    </xf>
    <xf numFmtId="41" fontId="108" fillId="7" borderId="3" xfId="1" applyFont="1" applyFill="1" applyBorder="1" applyAlignment="1" applyProtection="1">
      <alignment horizontal="right" vertical="center" wrapText="1" shrinkToFit="1"/>
    </xf>
    <xf numFmtId="41" fontId="109" fillId="10" borderId="117" xfId="0" applyNumberFormat="1" applyFont="1" applyFill="1" applyBorder="1" applyAlignment="1">
      <alignment horizontal="left" vertical="center" wrapText="1" shrinkToFit="1"/>
    </xf>
    <xf numFmtId="41" fontId="109" fillId="10" borderId="118" xfId="0" applyNumberFormat="1" applyFont="1" applyFill="1" applyBorder="1" applyAlignment="1">
      <alignment horizontal="left" vertical="center" wrapText="1" shrinkToFit="1"/>
    </xf>
    <xf numFmtId="41" fontId="109" fillId="10" borderId="119" xfId="0" applyNumberFormat="1" applyFont="1" applyFill="1" applyBorder="1" applyAlignment="1">
      <alignment horizontal="left" vertical="center" wrapText="1" shrinkToFit="1"/>
    </xf>
    <xf numFmtId="41" fontId="107" fillId="20" borderId="1" xfId="0" applyNumberFormat="1" applyFont="1" applyFill="1" applyBorder="1" applyAlignment="1">
      <alignment horizontal="left" vertical="center" wrapText="1" shrinkToFit="1"/>
    </xf>
    <xf numFmtId="0" fontId="104" fillId="20" borderId="1" xfId="0" applyFont="1" applyFill="1" applyBorder="1" applyAlignment="1">
      <alignment horizontal="center" vertical="center" wrapText="1" shrinkToFit="1"/>
    </xf>
    <xf numFmtId="0" fontId="104" fillId="20" borderId="5" xfId="0" applyFont="1" applyFill="1" applyBorder="1" applyAlignment="1">
      <alignment horizontal="center" vertical="center" wrapText="1" shrinkToFit="1"/>
    </xf>
    <xf numFmtId="41" fontId="106" fillId="20" borderId="1" xfId="1" applyFont="1" applyFill="1" applyBorder="1" applyAlignment="1" applyProtection="1">
      <alignment horizontal="right" vertical="center" wrapText="1" shrinkToFit="1"/>
    </xf>
    <xf numFmtId="0" fontId="66" fillId="7" borderId="5" xfId="0" applyFont="1" applyFill="1" applyBorder="1" applyAlignment="1">
      <alignment horizontal="center" vertical="center" wrapText="1" shrinkToFit="1"/>
    </xf>
    <xf numFmtId="0" fontId="66" fillId="7" borderId="6" xfId="0" applyFont="1" applyFill="1" applyBorder="1" applyAlignment="1">
      <alignment horizontal="center" vertical="center" wrapText="1" shrinkToFit="1"/>
    </xf>
    <xf numFmtId="0" fontId="66" fillId="7" borderId="4" xfId="0" applyFont="1" applyFill="1" applyBorder="1" applyAlignment="1">
      <alignment horizontal="center" vertical="center" wrapText="1" shrinkToFit="1"/>
    </xf>
    <xf numFmtId="184" fontId="113" fillId="7" borderId="1" xfId="1" applyNumberFormat="1" applyFont="1" applyFill="1" applyBorder="1" applyAlignment="1" applyProtection="1">
      <alignment horizontal="right" vertical="center" wrapText="1" shrinkToFit="1"/>
    </xf>
    <xf numFmtId="41" fontId="112" fillId="10" borderId="41" xfId="0" applyNumberFormat="1" applyFont="1" applyFill="1" applyBorder="1" applyAlignment="1">
      <alignment horizontal="left" vertical="center" wrapText="1" shrinkToFit="1"/>
    </xf>
    <xf numFmtId="41" fontId="112" fillId="10" borderId="7" xfId="0" applyNumberFormat="1" applyFont="1" applyFill="1" applyBorder="1" applyAlignment="1">
      <alignment horizontal="left" vertical="center" wrapText="1" shrinkToFit="1"/>
    </xf>
    <xf numFmtId="41" fontId="112" fillId="10" borderId="42" xfId="0" applyNumberFormat="1" applyFont="1" applyFill="1" applyBorder="1" applyAlignment="1">
      <alignment horizontal="left" vertical="center" wrapText="1" shrinkToFit="1"/>
    </xf>
    <xf numFmtId="41" fontId="112" fillId="10" borderId="54" xfId="0" applyNumberFormat="1" applyFont="1" applyFill="1" applyBorder="1" applyAlignment="1">
      <alignment horizontal="left" vertical="center" wrapText="1" shrinkToFit="1"/>
    </xf>
    <xf numFmtId="41" fontId="112" fillId="10" borderId="8" xfId="0" applyNumberFormat="1" applyFont="1" applyFill="1" applyBorder="1" applyAlignment="1">
      <alignment horizontal="left" vertical="center" wrapText="1" shrinkToFit="1"/>
    </xf>
    <xf numFmtId="41" fontId="112" fillId="10" borderId="105" xfId="0" applyNumberFormat="1" applyFont="1" applyFill="1" applyBorder="1" applyAlignment="1">
      <alignment horizontal="left" vertical="center" wrapText="1" shrinkToFit="1"/>
    </xf>
    <xf numFmtId="0" fontId="114" fillId="31" borderId="5" xfId="0" applyFont="1" applyFill="1" applyBorder="1" applyAlignment="1">
      <alignment horizontal="center" vertical="center" wrapText="1" shrinkToFit="1"/>
    </xf>
    <xf numFmtId="0" fontId="114" fillId="31" borderId="6" xfId="0" applyFont="1" applyFill="1" applyBorder="1" applyAlignment="1">
      <alignment horizontal="center" vertical="center" wrapText="1" shrinkToFit="1"/>
    </xf>
    <xf numFmtId="41" fontId="115" fillId="30" borderId="1" xfId="1" applyFont="1" applyFill="1" applyBorder="1" applyAlignment="1" applyProtection="1">
      <alignment horizontal="right" vertical="center" wrapText="1" shrinkToFit="1"/>
    </xf>
    <xf numFmtId="0" fontId="104" fillId="7" borderId="5" xfId="0" applyFont="1" applyFill="1" applyBorder="1" applyAlignment="1">
      <alignment horizontal="center" vertical="center" wrapText="1" shrinkToFit="1"/>
    </xf>
    <xf numFmtId="0" fontId="104" fillId="7" borderId="6" xfId="0" applyFont="1" applyFill="1" applyBorder="1" applyAlignment="1">
      <alignment horizontal="center" vertical="center" wrapText="1" shrinkToFit="1"/>
    </xf>
    <xf numFmtId="41" fontId="108" fillId="7" borderId="1" xfId="1" applyFont="1" applyFill="1" applyBorder="1" applyAlignment="1" applyProtection="1">
      <alignment horizontal="right" vertical="center" wrapText="1" shrinkToFit="1"/>
    </xf>
    <xf numFmtId="41" fontId="110" fillId="10" borderId="1" xfId="0" applyNumberFormat="1" applyFont="1" applyFill="1" applyBorder="1" applyAlignment="1">
      <alignment horizontal="left" vertical="center" wrapText="1" shrinkToFit="1"/>
    </xf>
    <xf numFmtId="0" fontId="99" fillId="30" borderId="5" xfId="0" applyFont="1" applyFill="1" applyBorder="1" applyAlignment="1">
      <alignment horizontal="center" vertical="center" wrapText="1" shrinkToFit="1"/>
    </xf>
    <xf numFmtId="0" fontId="99" fillId="30" borderId="6" xfId="0" applyFont="1" applyFill="1" applyBorder="1" applyAlignment="1">
      <alignment horizontal="center" vertical="center" wrapText="1" shrinkToFit="1"/>
    </xf>
    <xf numFmtId="41" fontId="111" fillId="30" borderId="1" xfId="1" applyFont="1" applyFill="1" applyBorder="1" applyAlignment="1" applyProtection="1">
      <alignment horizontal="right" vertical="center" wrapText="1" shrinkToFit="1"/>
    </xf>
    <xf numFmtId="0" fontId="99" fillId="0" borderId="6" xfId="0" applyFont="1" applyBorder="1" applyAlignment="1">
      <alignment horizontal="center" vertical="center" wrapText="1"/>
    </xf>
    <xf numFmtId="43" fontId="99" fillId="0" borderId="6" xfId="0" applyNumberFormat="1" applyFont="1" applyBorder="1" applyAlignment="1">
      <alignment horizontal="center" vertical="center" wrapText="1"/>
    </xf>
    <xf numFmtId="0" fontId="66" fillId="3" borderId="6" xfId="0" applyFont="1" applyFill="1" applyBorder="1" applyAlignment="1">
      <alignment horizontal="left" vertical="center" wrapText="1"/>
    </xf>
    <xf numFmtId="0" fontId="66" fillId="25" borderId="1" xfId="0" applyFont="1" applyFill="1" applyBorder="1" applyAlignment="1">
      <alignment horizontal="center" vertical="center" wrapText="1"/>
    </xf>
    <xf numFmtId="0" fontId="66" fillId="25" borderId="5" xfId="0" applyFont="1" applyFill="1" applyBorder="1" applyAlignment="1">
      <alignment horizontal="center" vertical="center"/>
    </xf>
    <xf numFmtId="41" fontId="118" fillId="7" borderId="1" xfId="1" applyFont="1" applyFill="1" applyBorder="1" applyAlignment="1" applyProtection="1">
      <alignment horizontal="right" vertical="center" wrapText="1" shrinkToFit="1"/>
    </xf>
    <xf numFmtId="41" fontId="119" fillId="10" borderId="1" xfId="0" applyNumberFormat="1" applyFont="1" applyFill="1" applyBorder="1" applyAlignment="1">
      <alignment horizontal="left" vertical="center"/>
    </xf>
    <xf numFmtId="0" fontId="66" fillId="32" borderId="3" xfId="0" applyFont="1" applyFill="1" applyBorder="1" applyAlignment="1">
      <alignment horizontal="center" vertical="center" wrapText="1" shrinkToFit="1"/>
    </xf>
    <xf numFmtId="0" fontId="66" fillId="32" borderId="54" xfId="0" applyFont="1" applyFill="1" applyBorder="1" applyAlignment="1">
      <alignment horizontal="center" vertical="center" wrapText="1" shrinkToFit="1"/>
    </xf>
    <xf numFmtId="41" fontId="111" fillId="32" borderId="1" xfId="1" applyFont="1" applyFill="1" applyBorder="1" applyAlignment="1" applyProtection="1">
      <alignment horizontal="right" vertical="center" wrapText="1" shrinkToFit="1"/>
    </xf>
    <xf numFmtId="41" fontId="116" fillId="10" borderId="5" xfId="0" applyNumberFormat="1" applyFont="1" applyFill="1" applyBorder="1" applyAlignment="1">
      <alignment horizontal="left" vertical="center" wrapText="1" shrinkToFit="1"/>
    </xf>
    <xf numFmtId="41" fontId="116" fillId="10" borderId="6" xfId="0" applyNumberFormat="1" applyFont="1" applyFill="1" applyBorder="1" applyAlignment="1">
      <alignment horizontal="left" vertical="center" wrapText="1" shrinkToFit="1"/>
    </xf>
    <xf numFmtId="41" fontId="116" fillId="10" borderId="4" xfId="0" applyNumberFormat="1" applyFont="1" applyFill="1" applyBorder="1" applyAlignment="1">
      <alignment horizontal="left" vertical="center" wrapText="1" shrinkToFit="1"/>
    </xf>
    <xf numFmtId="0" fontId="99" fillId="25" borderId="41" xfId="0" applyFont="1" applyFill="1" applyBorder="1" applyAlignment="1">
      <alignment horizontal="center" vertical="center" wrapText="1" shrinkToFit="1"/>
    </xf>
    <xf numFmtId="0" fontId="99" fillId="25" borderId="7" xfId="0" applyFont="1" applyFill="1" applyBorder="1" applyAlignment="1">
      <alignment horizontal="center" vertical="center" wrapText="1" shrinkToFit="1"/>
    </xf>
    <xf numFmtId="41" fontId="117" fillId="5" borderId="1" xfId="1" applyFont="1" applyFill="1" applyBorder="1" applyAlignment="1" applyProtection="1">
      <alignment horizontal="right" vertical="center" wrapText="1" shrinkToFit="1"/>
    </xf>
    <xf numFmtId="41" fontId="109" fillId="10" borderId="5" xfId="0" applyNumberFormat="1" applyFont="1" applyFill="1" applyBorder="1" applyAlignment="1">
      <alignment horizontal="left" vertical="center" wrapText="1" shrinkToFit="1"/>
    </xf>
    <xf numFmtId="41" fontId="109" fillId="10" borderId="6" xfId="0" applyNumberFormat="1" applyFont="1" applyFill="1" applyBorder="1" applyAlignment="1">
      <alignment horizontal="left" vertical="center" wrapText="1" shrinkToFit="1"/>
    </xf>
    <xf numFmtId="41" fontId="109" fillId="10" borderId="4" xfId="0" applyNumberFormat="1" applyFont="1" applyFill="1" applyBorder="1" applyAlignment="1">
      <alignment horizontal="left" vertical="center" wrapText="1" shrinkToFit="1"/>
    </xf>
    <xf numFmtId="181" fontId="99" fillId="7" borderId="5" xfId="1" applyNumberFormat="1" applyFont="1" applyFill="1" applyBorder="1" applyAlignment="1">
      <alignment horizontal="center" vertical="center"/>
    </xf>
    <xf numFmtId="181" fontId="99" fillId="7" borderId="4" xfId="1" applyNumberFormat="1" applyFont="1" applyFill="1" applyBorder="1" applyAlignment="1">
      <alignment horizontal="center" vertical="center"/>
    </xf>
    <xf numFmtId="181" fontId="70" fillId="7" borderId="6" xfId="1" applyNumberFormat="1" applyFont="1" applyFill="1" applyBorder="1" applyAlignment="1">
      <alignment horizontal="center" vertical="center"/>
    </xf>
    <xf numFmtId="181" fontId="70" fillId="7" borderId="4" xfId="1" applyNumberFormat="1" applyFont="1" applyFill="1" applyBorder="1" applyAlignment="1">
      <alignment horizontal="center" vertical="center"/>
    </xf>
    <xf numFmtId="181" fontId="70" fillId="7" borderId="5" xfId="1" applyNumberFormat="1" applyFont="1" applyFill="1" applyBorder="1" applyAlignment="1">
      <alignment horizontal="center" vertical="center"/>
    </xf>
    <xf numFmtId="0" fontId="66" fillId="23" borderId="1" xfId="0" applyFont="1" applyFill="1" applyBorder="1" applyAlignment="1">
      <alignment horizontal="center" vertical="center"/>
    </xf>
    <xf numFmtId="9" fontId="126" fillId="18" borderId="9" xfId="0" applyNumberFormat="1" applyFont="1" applyFill="1" applyBorder="1" applyAlignment="1">
      <alignment horizontal="center" vertical="center"/>
    </xf>
    <xf numFmtId="9" fontId="126" fillId="18" borderId="36" xfId="0" applyNumberFormat="1" applyFont="1" applyFill="1" applyBorder="1" applyAlignment="1">
      <alignment horizontal="center" vertical="center"/>
    </xf>
    <xf numFmtId="200" fontId="8" fillId="0" borderId="0" xfId="0" applyNumberFormat="1" applyFont="1" applyAlignment="1">
      <alignment horizontal="center" vertical="center"/>
    </xf>
    <xf numFmtId="0" fontId="66" fillId="4" borderId="5" xfId="0" applyFont="1" applyFill="1" applyBorder="1" applyAlignment="1">
      <alignment horizontal="center" vertical="center" wrapText="1"/>
    </xf>
    <xf numFmtId="0" fontId="66" fillId="4" borderId="6" xfId="0" applyFont="1" applyFill="1" applyBorder="1" applyAlignment="1">
      <alignment horizontal="center" vertical="center" wrapText="1"/>
    </xf>
    <xf numFmtId="0" fontId="66" fillId="4" borderId="4" xfId="0" applyFont="1" applyFill="1" applyBorder="1" applyAlignment="1">
      <alignment horizontal="center" vertical="center" wrapText="1"/>
    </xf>
    <xf numFmtId="181" fontId="113" fillId="7" borderId="5" xfId="1" applyNumberFormat="1" applyFont="1" applyFill="1" applyBorder="1" applyAlignment="1">
      <alignment horizontal="center" vertical="center"/>
    </xf>
    <xf numFmtId="181" fontId="113" fillId="7" borderId="4" xfId="1" applyNumberFormat="1" applyFont="1" applyFill="1" applyBorder="1" applyAlignment="1">
      <alignment horizontal="center" vertical="center"/>
    </xf>
    <xf numFmtId="179" fontId="36" fillId="4" borderId="1" xfId="0" applyNumberFormat="1" applyFont="1" applyFill="1" applyBorder="1" applyAlignment="1">
      <alignment horizontal="center" vertical="center"/>
    </xf>
    <xf numFmtId="0" fontId="29" fillId="6" borderId="1" xfId="0" applyFont="1" applyFill="1" applyBorder="1" applyAlignment="1">
      <alignment horizontal="center" vertical="center"/>
    </xf>
    <xf numFmtId="41" fontId="29" fillId="6" borderId="1" xfId="0" applyNumberFormat="1" applyFont="1" applyFill="1" applyBorder="1" applyAlignment="1">
      <alignment horizontal="center" vertical="center"/>
    </xf>
    <xf numFmtId="0" fontId="6" fillId="0" borderId="0" xfId="0" applyFont="1" applyAlignment="1" applyProtection="1">
      <alignment horizontal="center" vertical="center"/>
      <protection locked="0"/>
    </xf>
    <xf numFmtId="0" fontId="13" fillId="6" borderId="2" xfId="0" applyFont="1" applyFill="1" applyBorder="1" applyAlignment="1" applyProtection="1">
      <alignment horizontal="center" vertical="center"/>
      <protection locked="0"/>
    </xf>
    <xf numFmtId="0" fontId="13" fillId="6" borderId="3" xfId="0" applyFont="1" applyFill="1" applyBorder="1" applyAlignment="1" applyProtection="1">
      <alignment horizontal="center" vertical="center"/>
      <protection locked="0"/>
    </xf>
    <xf numFmtId="41" fontId="29" fillId="13" borderId="5" xfId="0" applyNumberFormat="1" applyFont="1" applyFill="1" applyBorder="1" applyAlignment="1">
      <alignment horizontal="center" vertical="center"/>
    </xf>
    <xf numFmtId="41" fontId="29" fillId="13" borderId="6" xfId="0" applyNumberFormat="1" applyFont="1" applyFill="1" applyBorder="1" applyAlignment="1">
      <alignment horizontal="center" vertical="center"/>
    </xf>
    <xf numFmtId="41" fontId="29" fillId="13" borderId="4" xfId="0" applyNumberFormat="1" applyFont="1" applyFill="1" applyBorder="1" applyAlignment="1">
      <alignment horizontal="center" vertical="center"/>
    </xf>
    <xf numFmtId="41" fontId="29" fillId="13" borderId="1" xfId="0" applyNumberFormat="1" applyFont="1" applyFill="1" applyBorder="1" applyAlignment="1">
      <alignment horizontal="center" vertical="center"/>
    </xf>
    <xf numFmtId="0" fontId="29" fillId="13" borderId="1" xfId="0" applyFont="1" applyFill="1" applyBorder="1" applyAlignment="1">
      <alignment horizontal="center" vertical="center"/>
    </xf>
    <xf numFmtId="0" fontId="29" fillId="6" borderId="5" xfId="0" applyFont="1" applyFill="1" applyBorder="1" applyAlignment="1">
      <alignment horizontal="center" vertical="center"/>
    </xf>
    <xf numFmtId="0" fontId="29" fillId="6" borderId="6" xfId="0" applyFont="1" applyFill="1" applyBorder="1" applyAlignment="1">
      <alignment horizontal="center" vertical="center"/>
    </xf>
    <xf numFmtId="0" fontId="29" fillId="6" borderId="4" xfId="0" applyFont="1" applyFill="1" applyBorder="1" applyAlignment="1">
      <alignment horizontal="center" vertical="center"/>
    </xf>
    <xf numFmtId="181" fontId="38" fillId="0" borderId="5" xfId="0" applyNumberFormat="1" applyFont="1" applyBorder="1" applyAlignment="1">
      <alignment horizontal="center" vertical="center"/>
    </xf>
    <xf numFmtId="181" fontId="38" fillId="0" borderId="6" xfId="0" applyNumberFormat="1" applyFont="1" applyBorder="1" applyAlignment="1">
      <alignment horizontal="center" vertical="center"/>
    </xf>
    <xf numFmtId="181" fontId="38" fillId="0" borderId="4" xfId="0" applyNumberFormat="1" applyFont="1" applyBorder="1" applyAlignment="1">
      <alignment horizontal="center" vertical="center"/>
    </xf>
    <xf numFmtId="181" fontId="22" fillId="4" borderId="1" xfId="0" applyNumberFormat="1" applyFont="1" applyFill="1" applyBorder="1" applyAlignment="1">
      <alignment horizontal="center" vertical="center"/>
    </xf>
    <xf numFmtId="177" fontId="37" fillId="8" borderId="1" xfId="0" applyNumberFormat="1" applyFont="1" applyFill="1" applyBorder="1" applyAlignment="1">
      <alignment horizontal="center" vertical="center"/>
    </xf>
    <xf numFmtId="0" fontId="133" fillId="0" borderId="143" xfId="0" applyFont="1" applyBorder="1" applyAlignment="1">
      <alignment horizontal="center" vertical="center" wrapText="1"/>
    </xf>
    <xf numFmtId="0" fontId="133" fillId="0" borderId="144" xfId="0" applyFont="1" applyBorder="1" applyAlignment="1">
      <alignment horizontal="center" vertical="center" wrapText="1"/>
    </xf>
    <xf numFmtId="0" fontId="133" fillId="0" borderId="145" xfId="0" applyFont="1" applyBorder="1" applyAlignment="1">
      <alignment horizontal="center" vertical="center" wrapText="1"/>
    </xf>
    <xf numFmtId="0" fontId="132" fillId="0" borderId="143" xfId="0" applyFont="1" applyBorder="1" applyAlignment="1">
      <alignment horizontal="center" vertical="center" wrapText="1"/>
    </xf>
    <xf numFmtId="0" fontId="132" fillId="0" borderId="145" xfId="0" applyFont="1" applyBorder="1" applyAlignment="1">
      <alignment horizontal="center" vertical="center" wrapText="1"/>
    </xf>
    <xf numFmtId="0" fontId="132" fillId="0" borderId="144" xfId="0" applyFont="1" applyBorder="1" applyAlignment="1">
      <alignment horizontal="center" vertical="center" wrapText="1"/>
    </xf>
    <xf numFmtId="0" fontId="133" fillId="0" borderId="143" xfId="0" applyFont="1" applyBorder="1" applyAlignment="1">
      <alignment horizontal="left" vertical="center" wrapText="1"/>
    </xf>
    <xf numFmtId="0" fontId="133" fillId="0" borderId="144" xfId="0" applyFont="1" applyBorder="1" applyAlignment="1">
      <alignment horizontal="left" vertical="center" wrapText="1"/>
    </xf>
    <xf numFmtId="0" fontId="24" fillId="0" borderId="2" xfId="0" applyFont="1" applyBorder="1" applyAlignment="1">
      <alignment horizontal="center" vertical="center" wrapText="1"/>
    </xf>
    <xf numFmtId="0" fontId="24" fillId="0" borderId="107" xfId="0" applyFont="1" applyBorder="1" applyAlignment="1">
      <alignment horizontal="center" vertical="center"/>
    </xf>
    <xf numFmtId="0" fontId="24" fillId="0" borderId="3" xfId="0" applyFont="1" applyBorder="1" applyAlignment="1">
      <alignment horizontal="center" vertical="center"/>
    </xf>
    <xf numFmtId="0" fontId="32" fillId="0" borderId="0" xfId="0" applyFont="1" applyAlignment="1">
      <alignment horizontal="center" vertical="center"/>
    </xf>
    <xf numFmtId="0" fontId="24" fillId="0" borderId="2" xfId="0" applyFont="1" applyBorder="1" applyAlignment="1">
      <alignment horizontal="center" vertical="center"/>
    </xf>
    <xf numFmtId="0" fontId="136" fillId="0" borderId="147" xfId="0" applyFont="1" applyBorder="1" applyAlignment="1">
      <alignment horizontal="left" vertical="center" wrapText="1"/>
    </xf>
    <xf numFmtId="0" fontId="136" fillId="0" borderId="148" xfId="0" applyFont="1" applyBorder="1" applyAlignment="1">
      <alignment horizontal="left" vertical="center" wrapText="1"/>
    </xf>
    <xf numFmtId="41" fontId="14" fillId="2" borderId="32" xfId="3" applyFont="1" applyFill="1" applyBorder="1" applyAlignment="1">
      <alignment horizontal="center" vertical="center"/>
    </xf>
    <xf numFmtId="41" fontId="14" fillId="3" borderId="32" xfId="3" applyFont="1" applyFill="1" applyBorder="1" applyAlignment="1">
      <alignment horizontal="center" vertical="center" wrapText="1"/>
    </xf>
    <xf numFmtId="41" fontId="14" fillId="3" borderId="32" xfId="3" applyFont="1" applyFill="1" applyBorder="1" applyAlignment="1">
      <alignment horizontal="center" vertical="center"/>
    </xf>
    <xf numFmtId="41" fontId="7" fillId="0" borderId="0" xfId="3" applyFont="1" applyAlignment="1">
      <alignment horizontal="center" vertical="center"/>
    </xf>
    <xf numFmtId="0" fontId="40" fillId="0" borderId="32" xfId="0" applyFont="1" applyBorder="1" applyAlignment="1">
      <alignment horizontal="center" vertical="center"/>
    </xf>
    <xf numFmtId="0" fontId="24" fillId="0" borderId="1" xfId="0" applyFont="1" applyBorder="1" applyAlignment="1" applyProtection="1">
      <alignment horizontal="left" vertical="center"/>
      <protection locked="0"/>
    </xf>
    <xf numFmtId="0" fontId="8" fillId="0" borderId="0" xfId="13" applyFont="1" applyAlignment="1" applyProtection="1">
      <alignment horizontal="left" vertical="center" wrapText="1"/>
      <protection locked="0"/>
    </xf>
  </cellXfs>
  <cellStyles count="16">
    <cellStyle name="백분율" xfId="2" builtinId="5"/>
    <cellStyle name="백분율 3" xfId="4" xr:uid="{00000000-0005-0000-0000-000001000000}"/>
    <cellStyle name="보통" xfId="12" builtinId="28"/>
    <cellStyle name="쉼표 [0]" xfId="1" builtinId="6"/>
    <cellStyle name="쉼표 [0] 2" xfId="3" xr:uid="{00000000-0005-0000-0000-000004000000}"/>
    <cellStyle name="표준" xfId="0" builtinId="0"/>
    <cellStyle name="표준 10 4" xfId="5" xr:uid="{00000000-0005-0000-0000-000006000000}"/>
    <cellStyle name="표준 101" xfId="7" xr:uid="{00000000-0005-0000-0000-000007000000}"/>
    <cellStyle name="표준 101 2" xfId="10" xr:uid="{00000000-0005-0000-0000-000008000000}"/>
    <cellStyle name="표준 2" xfId="6" xr:uid="{00000000-0005-0000-0000-000009000000}"/>
    <cellStyle name="표준 2 10" xfId="8" xr:uid="{00000000-0005-0000-0000-00000A000000}"/>
    <cellStyle name="표준 2 10 2" xfId="11" xr:uid="{00000000-0005-0000-0000-00000B000000}"/>
    <cellStyle name="표준 2 2 2" xfId="9" xr:uid="{00000000-0005-0000-0000-00000C000000}"/>
    <cellStyle name="표준 7" xfId="15" xr:uid="{00000000-0005-0000-0000-00000D000000}"/>
    <cellStyle name="표준_SW개발 기능점수 자료조사서" xfId="13" xr:uid="{00000000-0005-0000-0000-00000E000000}"/>
    <cellStyle name="표준_SW개발 기능점수 자료조사서 2" xfId="14" xr:uid="{00000000-0005-0000-0000-00000F000000}"/>
  </cellStyles>
  <dxfs count="96">
    <dxf>
      <fill>
        <patternFill>
          <bgColor indexed="43"/>
        </patternFill>
      </fill>
    </dxf>
    <dxf>
      <fill>
        <patternFill>
          <bgColor indexed="43"/>
        </patternFill>
      </fill>
    </dxf>
    <dxf>
      <fill>
        <patternFill>
          <bgColor rgb="FF99FF33"/>
        </patternFill>
      </fill>
    </dxf>
    <dxf>
      <fill>
        <patternFill>
          <bgColor rgb="FFFFFF00"/>
        </patternFill>
      </fill>
    </dxf>
    <dxf>
      <fill>
        <patternFill>
          <bgColor rgb="FFFFFFCC"/>
        </patternFill>
      </fill>
    </dxf>
    <dxf>
      <fill>
        <patternFill>
          <bgColor rgb="FF92D050"/>
        </patternFill>
      </fill>
    </dxf>
    <dxf>
      <font>
        <color rgb="FFFF0000"/>
      </font>
      <fill>
        <patternFill>
          <bgColor rgb="FFFFFF99"/>
        </patternFill>
      </fill>
    </dxf>
    <dxf>
      <font>
        <b/>
        <i val="0"/>
        <color rgb="FF9C0006"/>
      </font>
      <fill>
        <patternFill>
          <bgColor rgb="FFFFC7CE"/>
        </patternFill>
      </fill>
    </dxf>
    <dxf>
      <fill>
        <patternFill>
          <bgColor theme="6" tint="0.79998168889431442"/>
        </patternFill>
      </fill>
    </dxf>
    <dxf>
      <fill>
        <patternFill>
          <bgColor rgb="FFFF0000"/>
        </patternFill>
      </fill>
    </dxf>
    <dxf>
      <fill>
        <patternFill>
          <bgColor rgb="FF66FFCC"/>
        </patternFill>
      </fill>
    </dxf>
    <dxf>
      <font>
        <b/>
        <i val="0"/>
        <color rgb="FFFF0000"/>
      </font>
      <fill>
        <patternFill>
          <bgColor rgb="FF66FFFF"/>
        </patternFill>
      </fill>
    </dxf>
    <dxf>
      <font>
        <b val="0"/>
        <i val="0"/>
        <color rgb="FF0000FF"/>
      </font>
      <fill>
        <patternFill>
          <bgColor rgb="FFFFC7CE"/>
        </patternFill>
      </fill>
    </dxf>
    <dxf>
      <font>
        <color rgb="FF0000FF"/>
      </font>
      <fill>
        <patternFill>
          <bgColor rgb="FFFF99FF"/>
        </patternFill>
      </fill>
    </dxf>
    <dxf>
      <font>
        <b/>
        <i val="0"/>
        <color rgb="FF9C0006"/>
      </font>
      <fill>
        <patternFill>
          <bgColor rgb="FFFFC7CE"/>
        </patternFill>
      </fill>
    </dxf>
    <dxf>
      <fill>
        <patternFill>
          <bgColor theme="3" tint="0.39994506668294322"/>
        </patternFill>
      </fill>
    </dxf>
    <dxf>
      <fill>
        <patternFill>
          <bgColor theme="9" tint="0.59996337778862885"/>
        </patternFill>
      </fill>
    </dxf>
    <dxf>
      <fill>
        <patternFill>
          <bgColor theme="6" tint="0.59996337778862885"/>
        </patternFill>
      </fill>
    </dxf>
    <dxf>
      <fill>
        <patternFill>
          <bgColor theme="6" tint="0.79998168889431442"/>
        </patternFill>
      </fill>
    </dxf>
    <dxf>
      <font>
        <b/>
        <i val="0"/>
        <color rgb="FF9C0006"/>
      </font>
      <fill>
        <patternFill>
          <bgColor rgb="FFFFC7CE"/>
        </patternFill>
      </fill>
    </dxf>
    <dxf>
      <font>
        <b/>
        <i val="0"/>
        <color rgb="FF9C0006"/>
      </font>
      <fill>
        <patternFill>
          <bgColor rgb="FFFFC7CE"/>
        </patternFill>
      </fill>
    </dxf>
    <dxf>
      <fill>
        <patternFill>
          <bgColor rgb="FFFF0000"/>
        </patternFill>
      </fill>
    </dxf>
    <dxf>
      <fill>
        <patternFill>
          <bgColor rgb="FF66FFCC"/>
        </patternFill>
      </fill>
    </dxf>
    <dxf>
      <font>
        <b val="0"/>
        <i val="0"/>
        <color rgb="FF0000FF"/>
      </font>
      <fill>
        <patternFill>
          <bgColor rgb="FFFFC7CE"/>
        </patternFill>
      </fill>
    </dxf>
    <dxf>
      <font>
        <b/>
        <i val="0"/>
        <color rgb="FFFF0000"/>
      </font>
      <fill>
        <patternFill>
          <bgColor rgb="FF66FFFF"/>
        </patternFill>
      </fill>
    </dxf>
    <dxf>
      <font>
        <color rgb="FFFF0000"/>
      </font>
      <fill>
        <patternFill>
          <bgColor rgb="FFFFFF99"/>
        </patternFill>
      </fill>
    </dxf>
    <dxf>
      <fill>
        <patternFill>
          <bgColor rgb="FFFFFFCC"/>
        </patternFill>
      </fill>
    </dxf>
    <dxf>
      <fill>
        <patternFill>
          <bgColor rgb="FF92D050"/>
        </patternFill>
      </fill>
    </dxf>
    <dxf>
      <fill>
        <patternFill>
          <bgColor theme="3" tint="0.39994506668294322"/>
        </patternFill>
      </fill>
    </dxf>
    <dxf>
      <font>
        <color rgb="FF0000FF"/>
      </font>
      <fill>
        <patternFill>
          <bgColor rgb="FFFF99FF"/>
        </patternFill>
      </fill>
    </dxf>
    <dxf>
      <font>
        <color rgb="FF006100"/>
      </font>
      <fill>
        <patternFill>
          <bgColor rgb="FF66FF66"/>
        </patternFill>
      </fill>
    </dxf>
    <dxf>
      <font>
        <b val="0"/>
        <i val="0"/>
      </font>
    </dxf>
    <dxf>
      <fill>
        <patternFill>
          <bgColor rgb="FFFFFF99"/>
        </patternFill>
      </fill>
    </dxf>
    <dxf>
      <fill>
        <patternFill>
          <bgColor rgb="FF66FF33"/>
        </patternFill>
      </fill>
    </dxf>
    <dxf>
      <fill>
        <patternFill>
          <bgColor rgb="FF66FFCC"/>
        </patternFill>
      </fill>
    </dxf>
    <dxf>
      <fill>
        <patternFill>
          <bgColor rgb="FF3399FF"/>
        </patternFill>
      </fill>
    </dxf>
    <dxf>
      <font>
        <color rgb="FFFF0000"/>
      </font>
    </dxf>
    <dxf>
      <font>
        <color theme="1" tint="0.34998626667073579"/>
      </font>
    </dxf>
    <dxf>
      <fill>
        <patternFill>
          <bgColor rgb="FFFFFF00"/>
        </patternFill>
      </fill>
    </dxf>
    <dxf>
      <fill>
        <patternFill>
          <bgColor theme="1" tint="0.14996795556505021"/>
        </patternFill>
      </fill>
    </dxf>
    <dxf>
      <fill>
        <patternFill>
          <bgColor rgb="FFFF0000"/>
        </patternFill>
      </fill>
    </dxf>
    <dxf>
      <fill>
        <patternFill>
          <bgColor theme="2" tint="-9.9948118533890809E-2"/>
        </patternFill>
      </fill>
    </dxf>
    <dxf>
      <font>
        <color rgb="FF006100"/>
      </font>
      <fill>
        <patternFill>
          <bgColor rgb="FF66FF66"/>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006100"/>
      </font>
      <fill>
        <patternFill>
          <bgColor rgb="FF66FF66"/>
        </patternFill>
      </fill>
    </dxf>
    <dxf>
      <font>
        <color rgb="FF006100"/>
      </font>
      <fill>
        <patternFill>
          <bgColor rgb="FF66FF66"/>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3" tint="0.59996337778862885"/>
        </patternFill>
      </fill>
    </dxf>
    <dxf>
      <fill>
        <patternFill>
          <bgColor theme="3" tint="0.59996337778862885"/>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99FF33"/>
        </patternFill>
      </fill>
    </dxf>
    <dxf>
      <fill>
        <patternFill>
          <bgColor rgb="FF00B0F0"/>
        </patternFill>
      </fill>
    </dxf>
    <dxf>
      <fill>
        <patternFill>
          <bgColor rgb="FFFFC000"/>
        </patternFill>
      </fill>
    </dxf>
    <dxf>
      <fill>
        <patternFill>
          <bgColor rgb="FF99FF33"/>
        </patternFill>
      </fill>
    </dxf>
    <dxf>
      <fill>
        <patternFill>
          <bgColor rgb="FFFF0000"/>
        </patternFill>
      </fill>
    </dxf>
    <dxf>
      <fill>
        <patternFill>
          <bgColor rgb="FFFFFF00"/>
        </patternFill>
      </fill>
    </dxf>
    <dxf>
      <fill>
        <patternFill>
          <bgColor rgb="FF99FF33"/>
        </patternFill>
      </fill>
    </dxf>
    <dxf>
      <fill>
        <patternFill>
          <bgColor rgb="FFFFC000"/>
        </patternFill>
      </fill>
    </dxf>
    <dxf>
      <fill>
        <patternFill>
          <bgColor rgb="FF00B0F0"/>
        </patternFill>
      </fill>
    </dxf>
    <dxf>
      <fill>
        <patternFill>
          <bgColor rgb="FFFF0000"/>
        </patternFill>
      </fill>
    </dxf>
    <dxf>
      <fill>
        <patternFill>
          <bgColor rgb="FFFFFF00"/>
        </patternFill>
      </fill>
    </dxf>
    <dxf>
      <fill>
        <patternFill>
          <bgColor rgb="FFFF0000"/>
        </patternFill>
      </fill>
    </dxf>
    <dxf>
      <fill>
        <patternFill>
          <bgColor rgb="FF99FF33"/>
        </patternFill>
      </fill>
    </dxf>
    <dxf>
      <fill>
        <patternFill>
          <bgColor rgb="FFFFFF00"/>
        </patternFill>
      </fill>
    </dxf>
    <dxf>
      <fill>
        <patternFill>
          <bgColor rgb="FFFF0000"/>
        </patternFill>
      </fill>
    </dxf>
    <dxf>
      <fill>
        <patternFill>
          <bgColor rgb="FF99FF33"/>
        </patternFill>
      </fill>
    </dxf>
    <dxf>
      <fill>
        <patternFill>
          <bgColor rgb="FFFF0000"/>
        </patternFill>
      </fill>
    </dxf>
    <dxf>
      <fill>
        <patternFill>
          <bgColor rgb="FFFFFF00"/>
        </patternFill>
      </fill>
    </dxf>
    <dxf>
      <fill>
        <patternFill>
          <bgColor rgb="FF99FF33"/>
        </patternFill>
      </fill>
    </dxf>
    <dxf>
      <fill>
        <patternFill>
          <bgColor rgb="FFFFFF00"/>
        </patternFill>
      </fill>
    </dxf>
    <dxf>
      <fill>
        <patternFill>
          <bgColor rgb="FFFFFF00"/>
        </patternFill>
      </fill>
    </dxf>
    <dxf>
      <fill>
        <patternFill>
          <bgColor rgb="FF99FF33"/>
        </patternFill>
      </fill>
    </dxf>
    <dxf>
      <fill>
        <patternFill>
          <bgColor theme="3" tint="0.59996337778862885"/>
        </patternFill>
      </fill>
    </dxf>
    <dxf>
      <fill>
        <patternFill>
          <bgColor theme="2" tint="-9.9948118533890809E-2"/>
        </patternFill>
      </fill>
    </dxf>
    <dxf>
      <fill>
        <patternFill>
          <bgColor theme="3" tint="0.59996337778862885"/>
        </patternFill>
      </fill>
    </dxf>
    <dxf>
      <fill>
        <patternFill>
          <bgColor theme="2" tint="-9.9948118533890809E-2"/>
        </patternFill>
      </fill>
    </dxf>
    <dxf>
      <fill>
        <patternFill>
          <bgColor theme="3" tint="0.59996337778862885"/>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022&#45380;\&#53804;&#51088;&#49900;&#51032;\&#51221;&#52293;%20&#48143;%20&#48372;&#44256;\SW&#49324;&#50629;&#45824;&#44032;%20&#44060;&#51221;\&#51089;&#50629;&#49892;\1.%202022&#45380;%20SW&#44508;&#47784;&#49328;&#51221;(FP)_&#49324;&#50629;&#47749;_Template%20(04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필수작성"/>
      <sheetName val="2.규모산정(FP)"/>
      <sheetName val="3. 산정결과('21년)"/>
      <sheetName val="4.산정식"/>
      <sheetName val="4. MM산정"/>
      <sheetName val="(MM참조)직무별정의"/>
      <sheetName val="직무별정의"/>
      <sheetName val="개발완료 후 작성용"/>
      <sheetName val="※작성법"/>
      <sheetName val="보안투자예산반영확인서"/>
      <sheetName val="협력사"/>
      <sheetName val="※참조_SI 사업 단가"/>
      <sheetName val="SM사업 단가"/>
      <sheetName val="SM사업(OP성) 단가"/>
      <sheetName val="※보정계수"/>
    </sheetNames>
    <sheetDataSet>
      <sheetData sheetId="0">
        <row r="23">
          <cell r="T23" t="str">
            <v>경영_영업</v>
          </cell>
        </row>
        <row r="24">
          <cell r="T24" t="str">
            <v>웹_앱</v>
          </cell>
        </row>
        <row r="25">
          <cell r="T25" t="str">
            <v>단말</v>
          </cell>
        </row>
        <row r="26">
          <cell r="T26" t="str">
            <v>플랫폼</v>
          </cell>
        </row>
        <row r="27">
          <cell r="T27" t="str">
            <v>솔루션</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Z46"/>
  <sheetViews>
    <sheetView topLeftCell="A10" workbookViewId="0">
      <selection activeCell="AA22" sqref="AA22"/>
    </sheetView>
  </sheetViews>
  <sheetFormatPr defaultColWidth="10" defaultRowHeight="13.2" x14ac:dyDescent="0.4"/>
  <cols>
    <col min="1" max="2" width="1.296875" style="2" customWidth="1"/>
    <col min="3" max="5" width="6.796875" style="2" customWidth="1"/>
    <col min="6" max="6" width="8.796875" style="2" customWidth="1"/>
    <col min="7" max="7" width="16.296875" style="2" customWidth="1"/>
    <col min="8" max="8" width="7.796875" style="2" customWidth="1"/>
    <col min="9" max="10" width="6.5" style="2" customWidth="1"/>
    <col min="11" max="11" width="10.796875" style="2" customWidth="1"/>
    <col min="12" max="13" width="8.5" style="2" customWidth="1"/>
    <col min="14" max="15" width="6.796875" style="2" customWidth="1"/>
    <col min="16" max="16" width="6.5" style="2" customWidth="1"/>
    <col min="17" max="17" width="13.69921875" style="2" customWidth="1"/>
    <col min="18" max="19" width="5.19921875" style="2" customWidth="1"/>
    <col min="20" max="20" width="19" style="2" hidden="1" customWidth="1"/>
    <col min="21" max="21" width="14.796875" style="2" hidden="1" customWidth="1"/>
    <col min="22" max="22" width="15.296875" style="2" hidden="1" customWidth="1"/>
    <col min="23" max="23" width="14.796875" style="2" hidden="1" customWidth="1"/>
    <col min="24" max="26" width="10" style="2" hidden="1" customWidth="1"/>
    <col min="27" max="16384" width="10" style="2"/>
  </cols>
  <sheetData>
    <row r="1" spans="2:17" ht="9" customHeight="1" x14ac:dyDescent="0.4"/>
    <row r="2" spans="2:17" ht="20.55" customHeight="1" x14ac:dyDescent="0.4">
      <c r="B2" s="471" t="s">
        <v>128</v>
      </c>
      <c r="C2" s="471"/>
      <c r="D2" s="471"/>
      <c r="E2" s="471"/>
      <c r="F2" s="471"/>
      <c r="G2" s="471"/>
      <c r="H2" s="471"/>
      <c r="I2" s="471"/>
      <c r="J2" s="471"/>
      <c r="K2" s="471"/>
      <c r="L2" s="471"/>
      <c r="M2" s="471"/>
      <c r="N2" s="471"/>
      <c r="O2" s="471"/>
      <c r="P2" s="471"/>
      <c r="Q2" s="471"/>
    </row>
    <row r="3" spans="2:17" ht="20.55" customHeight="1" thickBot="1" x14ac:dyDescent="0.45">
      <c r="B3" s="471" t="s">
        <v>129</v>
      </c>
      <c r="C3" s="471"/>
      <c r="D3" s="471"/>
      <c r="E3" s="471"/>
      <c r="F3" s="471"/>
      <c r="G3" s="471"/>
      <c r="H3" s="471"/>
      <c r="I3" s="471"/>
      <c r="J3" s="471"/>
      <c r="K3" s="471"/>
      <c r="L3" s="471"/>
      <c r="M3" s="471"/>
      <c r="N3" s="471"/>
      <c r="O3" s="471"/>
      <c r="P3" s="471"/>
      <c r="Q3" s="471"/>
    </row>
    <row r="4" spans="2:17" ht="13.5" customHeight="1" x14ac:dyDescent="0.4">
      <c r="B4" s="472" t="s">
        <v>130</v>
      </c>
      <c r="C4" s="473"/>
      <c r="D4" s="473"/>
      <c r="E4" s="473"/>
      <c r="F4" s="474" t="s">
        <v>577</v>
      </c>
      <c r="G4" s="475"/>
      <c r="H4" s="475"/>
      <c r="I4" s="475"/>
      <c r="J4" s="475"/>
      <c r="K4" s="475"/>
      <c r="L4" s="475"/>
      <c r="M4" s="476"/>
      <c r="N4" s="477"/>
      <c r="O4" s="478"/>
      <c r="P4" s="478"/>
      <c r="Q4" s="479"/>
    </row>
    <row r="5" spans="2:17" ht="13.5" customHeight="1" x14ac:dyDescent="0.4">
      <c r="B5" s="461" t="s">
        <v>131</v>
      </c>
      <c r="C5" s="462"/>
      <c r="D5" s="462"/>
      <c r="E5" s="462"/>
      <c r="F5" s="52" t="s">
        <v>132</v>
      </c>
      <c r="G5" s="463" t="s">
        <v>133</v>
      </c>
      <c r="H5" s="464"/>
      <c r="I5" s="463" t="s">
        <v>134</v>
      </c>
      <c r="J5" s="465"/>
      <c r="K5" s="465"/>
      <c r="L5" s="466"/>
      <c r="M5" s="467" t="s">
        <v>78</v>
      </c>
      <c r="N5" s="468"/>
      <c r="O5" s="469" t="s">
        <v>135</v>
      </c>
      <c r="P5" s="465"/>
      <c r="Q5" s="470"/>
    </row>
    <row r="6" spans="2:17" x14ac:dyDescent="0.4">
      <c r="B6" s="484" t="s">
        <v>136</v>
      </c>
      <c r="C6" s="485"/>
      <c r="D6" s="485"/>
      <c r="E6" s="486"/>
      <c r="F6" s="5"/>
      <c r="G6" s="481"/>
      <c r="H6" s="481"/>
      <c r="I6" s="481"/>
      <c r="J6" s="481"/>
      <c r="K6" s="481"/>
      <c r="L6" s="481"/>
      <c r="M6" s="481"/>
      <c r="N6" s="481"/>
      <c r="O6" s="482"/>
      <c r="P6" s="482"/>
      <c r="Q6" s="483"/>
    </row>
    <row r="7" spans="2:17" ht="13.5" customHeight="1" x14ac:dyDescent="0.4">
      <c r="B7" s="461" t="s">
        <v>137</v>
      </c>
      <c r="C7" s="462"/>
      <c r="D7" s="462"/>
      <c r="E7" s="480"/>
      <c r="F7" s="5"/>
      <c r="G7" s="481"/>
      <c r="H7" s="481"/>
      <c r="I7" s="481"/>
      <c r="J7" s="481"/>
      <c r="K7" s="481"/>
      <c r="L7" s="481"/>
      <c r="M7" s="481"/>
      <c r="N7" s="481"/>
      <c r="O7" s="482"/>
      <c r="P7" s="482"/>
      <c r="Q7" s="483"/>
    </row>
    <row r="8" spans="2:17" x14ac:dyDescent="0.4">
      <c r="B8" s="461" t="s">
        <v>79</v>
      </c>
      <c r="C8" s="462"/>
      <c r="D8" s="462"/>
      <c r="E8" s="480"/>
      <c r="F8" s="5"/>
      <c r="G8" s="481"/>
      <c r="H8" s="481"/>
      <c r="I8" s="481"/>
      <c r="J8" s="481"/>
      <c r="K8" s="481"/>
      <c r="L8" s="481"/>
      <c r="M8" s="481"/>
      <c r="N8" s="481"/>
      <c r="O8" s="482"/>
      <c r="P8" s="482"/>
      <c r="Q8" s="483"/>
    </row>
    <row r="9" spans="2:17" ht="14.25" customHeight="1" thickBot="1" x14ac:dyDescent="0.45">
      <c r="B9" s="487" t="s">
        <v>80</v>
      </c>
      <c r="C9" s="488"/>
      <c r="D9" s="488"/>
      <c r="E9" s="489"/>
      <c r="F9" s="6"/>
      <c r="G9" s="490"/>
      <c r="H9" s="490"/>
      <c r="I9" s="490"/>
      <c r="J9" s="490"/>
      <c r="K9" s="490"/>
      <c r="L9" s="490"/>
      <c r="M9" s="491"/>
      <c r="N9" s="492"/>
      <c r="O9" s="493"/>
      <c r="P9" s="494"/>
      <c r="Q9" s="495"/>
    </row>
    <row r="10" spans="2:17" ht="15.6" x14ac:dyDescent="0.4">
      <c r="B10" s="502" t="s">
        <v>138</v>
      </c>
      <c r="C10" s="503"/>
      <c r="D10" s="503"/>
      <c r="E10" s="503"/>
      <c r="F10" s="504" t="s">
        <v>139</v>
      </c>
      <c r="G10" s="505"/>
      <c r="H10" s="505"/>
      <c r="I10" s="505"/>
      <c r="J10" s="505"/>
      <c r="K10" s="506" t="s">
        <v>578</v>
      </c>
      <c r="L10" s="506"/>
      <c r="M10" s="506"/>
      <c r="N10" s="506" t="s">
        <v>579</v>
      </c>
      <c r="O10" s="506"/>
      <c r="P10" s="506"/>
      <c r="Q10" s="507"/>
    </row>
    <row r="11" spans="2:17" x14ac:dyDescent="0.4">
      <c r="B11" s="461" t="s">
        <v>140</v>
      </c>
      <c r="C11" s="462"/>
      <c r="D11" s="462"/>
      <c r="E11" s="462"/>
      <c r="F11" s="508" t="s">
        <v>141</v>
      </c>
      <c r="G11" s="509"/>
      <c r="H11" s="509"/>
      <c r="I11" s="509"/>
      <c r="J11" s="509"/>
      <c r="K11" s="506" t="s">
        <v>578</v>
      </c>
      <c r="L11" s="506"/>
      <c r="M11" s="506"/>
      <c r="N11" s="510" t="s">
        <v>579</v>
      </c>
      <c r="O11" s="510"/>
      <c r="P11" s="510"/>
      <c r="Q11" s="511"/>
    </row>
    <row r="12" spans="2:17" x14ac:dyDescent="0.4">
      <c r="B12" s="527"/>
      <c r="C12" s="53" t="s">
        <v>142</v>
      </c>
      <c r="D12" s="53"/>
      <c r="E12" s="54"/>
      <c r="F12" s="530">
        <v>10000000000</v>
      </c>
      <c r="G12" s="530"/>
      <c r="H12" s="531" t="s">
        <v>143</v>
      </c>
      <c r="I12" s="532"/>
      <c r="J12" s="532"/>
      <c r="K12" s="532"/>
      <c r="L12" s="532"/>
      <c r="M12" s="532"/>
      <c r="N12" s="532"/>
      <c r="O12" s="532"/>
      <c r="P12" s="532"/>
      <c r="Q12" s="533"/>
    </row>
    <row r="13" spans="2:17" ht="13.5" customHeight="1" x14ac:dyDescent="0.4">
      <c r="B13" s="528"/>
      <c r="C13" s="531" t="s">
        <v>144</v>
      </c>
      <c r="D13" s="532"/>
      <c r="E13" s="534"/>
      <c r="F13" s="535">
        <f>F12-F14-G16-G16</f>
        <v>9782792000</v>
      </c>
      <c r="G13" s="536"/>
      <c r="H13" s="531" t="s">
        <v>145</v>
      </c>
      <c r="I13" s="532"/>
      <c r="J13" s="532"/>
      <c r="K13" s="532"/>
      <c r="L13" s="532"/>
      <c r="M13" s="532"/>
      <c r="N13" s="532"/>
      <c r="O13" s="532"/>
      <c r="P13" s="532"/>
      <c r="Q13" s="533"/>
    </row>
    <row r="14" spans="2:17" ht="38.25" customHeight="1" thickBot="1" x14ac:dyDescent="0.45">
      <c r="B14" s="528"/>
      <c r="C14" s="467" t="s">
        <v>146</v>
      </c>
      <c r="D14" s="485"/>
      <c r="E14" s="468"/>
      <c r="F14" s="543">
        <f>'3_1.산정식'!C7*'1.필수작성'!G15</f>
        <v>17208000</v>
      </c>
      <c r="G14" s="543"/>
      <c r="H14" s="496" t="s">
        <v>526</v>
      </c>
      <c r="I14" s="497"/>
      <c r="J14" s="497"/>
      <c r="K14" s="497"/>
      <c r="L14" s="497"/>
      <c r="M14" s="497"/>
      <c r="N14" s="497"/>
      <c r="O14" s="497"/>
      <c r="P14" s="497"/>
      <c r="Q14" s="498"/>
    </row>
    <row r="15" spans="2:17" ht="13.5" customHeight="1" thickTop="1" thickBot="1" x14ac:dyDescent="0.45">
      <c r="B15" s="528"/>
      <c r="C15" s="537"/>
      <c r="D15" s="538"/>
      <c r="E15" s="539"/>
      <c r="F15" s="55" t="s">
        <v>147</v>
      </c>
      <c r="G15" s="56">
        <v>1.5</v>
      </c>
      <c r="H15" s="57" t="s">
        <v>148</v>
      </c>
      <c r="I15" s="499"/>
      <c r="J15" s="500"/>
      <c r="K15" s="500"/>
      <c r="L15" s="500"/>
      <c r="M15" s="500"/>
      <c r="N15" s="500"/>
      <c r="O15" s="500"/>
      <c r="P15" s="500"/>
      <c r="Q15" s="501"/>
    </row>
    <row r="16" spans="2:17" ht="14.25" customHeight="1" thickTop="1" thickBot="1" x14ac:dyDescent="0.45">
      <c r="B16" s="529"/>
      <c r="C16" s="540"/>
      <c r="D16" s="541"/>
      <c r="E16" s="542"/>
      <c r="F16" s="58" t="s">
        <v>149</v>
      </c>
      <c r="G16" s="59">
        <v>100000000</v>
      </c>
      <c r="H16" s="60" t="s">
        <v>148</v>
      </c>
      <c r="I16" s="512"/>
      <c r="J16" s="513"/>
      <c r="K16" s="513"/>
      <c r="L16" s="513"/>
      <c r="M16" s="513"/>
      <c r="N16" s="513"/>
      <c r="O16" s="513"/>
      <c r="P16" s="513"/>
      <c r="Q16" s="514"/>
    </row>
    <row r="17" spans="2:25" ht="13.5" customHeight="1" thickTop="1" thickBot="1" x14ac:dyDescent="0.45">
      <c r="B17" s="515" t="s">
        <v>150</v>
      </c>
      <c r="C17" s="516"/>
      <c r="D17" s="516"/>
      <c r="E17" s="517"/>
      <c r="F17" s="518" t="s">
        <v>575</v>
      </c>
      <c r="G17" s="519"/>
      <c r="H17" s="61" t="s">
        <v>524</v>
      </c>
      <c r="I17" s="61"/>
      <c r="J17" s="61"/>
      <c r="K17" s="62"/>
      <c r="L17" s="62"/>
      <c r="M17" s="62"/>
      <c r="N17" s="61"/>
      <c r="O17" s="61"/>
      <c r="P17" s="61"/>
      <c r="Q17" s="63"/>
    </row>
    <row r="18" spans="2:25" ht="13.5" customHeight="1" thickBot="1" x14ac:dyDescent="0.45">
      <c r="B18" s="520" t="s">
        <v>151</v>
      </c>
      <c r="C18" s="521"/>
      <c r="D18" s="521"/>
      <c r="E18" s="521"/>
      <c r="F18" s="522"/>
      <c r="G18" s="523"/>
      <c r="H18" s="509" t="s">
        <v>152</v>
      </c>
      <c r="I18" s="509"/>
      <c r="J18" s="509"/>
      <c r="K18" s="522"/>
      <c r="L18" s="524"/>
      <c r="M18" s="523"/>
      <c r="N18" s="525" t="s">
        <v>153</v>
      </c>
      <c r="O18" s="525"/>
      <c r="P18" s="525"/>
      <c r="Q18" s="526"/>
    </row>
    <row r="19" spans="2:25" ht="13.5" hidden="1" customHeight="1" x14ac:dyDescent="0.4">
      <c r="B19" s="555" t="s">
        <v>154</v>
      </c>
      <c r="C19" s="556"/>
      <c r="D19" s="556"/>
      <c r="E19" s="556"/>
      <c r="F19" s="557" t="s">
        <v>155</v>
      </c>
      <c r="G19" s="558"/>
      <c r="H19" s="7" t="s">
        <v>156</v>
      </c>
      <c r="I19" s="1"/>
      <c r="J19" s="1"/>
      <c r="K19" s="61"/>
      <c r="L19" s="61"/>
      <c r="M19" s="61"/>
      <c r="N19" s="1"/>
      <c r="O19" s="1"/>
      <c r="P19" s="1"/>
      <c r="Q19" s="64"/>
    </row>
    <row r="20" spans="2:25" ht="13.5" customHeight="1" thickBot="1" x14ac:dyDescent="0.45">
      <c r="B20" s="65" t="s">
        <v>157</v>
      </c>
      <c r="C20" s="66"/>
      <c r="D20" s="66"/>
      <c r="E20" s="66"/>
      <c r="F20" s="559" t="s">
        <v>158</v>
      </c>
      <c r="G20" s="559"/>
      <c r="H20" s="67"/>
      <c r="I20" s="62"/>
      <c r="J20" s="62"/>
      <c r="K20" s="62"/>
      <c r="L20" s="62"/>
      <c r="M20" s="62"/>
      <c r="N20" s="62"/>
      <c r="O20" s="62"/>
      <c r="P20" s="62"/>
      <c r="Q20" s="68"/>
    </row>
    <row r="21" spans="2:25" ht="13.5" customHeight="1" x14ac:dyDescent="0.4">
      <c r="B21" s="461" t="s">
        <v>159</v>
      </c>
      <c r="C21" s="462"/>
      <c r="D21" s="462"/>
      <c r="E21" s="480"/>
      <c r="F21" s="560" t="s">
        <v>160</v>
      </c>
      <c r="G21" s="560"/>
      <c r="H21" s="544" t="s">
        <v>161</v>
      </c>
      <c r="I21" s="544"/>
      <c r="J21" s="544"/>
      <c r="K21" s="544"/>
      <c r="L21" s="544"/>
      <c r="M21" s="544"/>
      <c r="N21" s="544"/>
      <c r="O21" s="544"/>
      <c r="P21" s="544"/>
      <c r="Q21" s="545"/>
    </row>
    <row r="22" spans="2:25" ht="13.5" customHeight="1" x14ac:dyDescent="0.4">
      <c r="B22" s="461"/>
      <c r="C22" s="462"/>
      <c r="D22" s="462"/>
      <c r="E22" s="480"/>
      <c r="F22" s="546" t="s">
        <v>162</v>
      </c>
      <c r="G22" s="546"/>
      <c r="H22" s="547" t="s">
        <v>1</v>
      </c>
      <c r="I22" s="548"/>
      <c r="J22" s="548"/>
      <c r="K22" s="548"/>
      <c r="L22" s="549" t="s">
        <v>163</v>
      </c>
      <c r="M22" s="549"/>
      <c r="N22" s="549"/>
      <c r="O22" s="549"/>
      <c r="P22" s="549"/>
      <c r="Q22" s="550"/>
      <c r="T22" s="29" t="s">
        <v>164</v>
      </c>
      <c r="U22" s="30" t="s">
        <v>165</v>
      </c>
      <c r="V22" s="16" t="s">
        <v>166</v>
      </c>
      <c r="W22" s="16" t="s">
        <v>167</v>
      </c>
      <c r="X22" s="16" t="s">
        <v>168</v>
      </c>
      <c r="Y22" s="16" t="s">
        <v>169</v>
      </c>
    </row>
    <row r="23" spans="2:25" ht="13.5" customHeight="1" x14ac:dyDescent="0.4">
      <c r="B23" s="461"/>
      <c r="C23" s="462"/>
      <c r="D23" s="462"/>
      <c r="E23" s="480"/>
      <c r="F23" s="462" t="s">
        <v>170</v>
      </c>
      <c r="G23" s="462"/>
      <c r="H23" s="547"/>
      <c r="I23" s="548"/>
      <c r="J23" s="548"/>
      <c r="K23" s="551"/>
      <c r="L23" s="552" t="s">
        <v>171</v>
      </c>
      <c r="M23" s="552"/>
      <c r="N23" s="552"/>
      <c r="O23" s="553"/>
      <c r="P23" s="553"/>
      <c r="Q23" s="554"/>
      <c r="T23" s="29" t="s">
        <v>172</v>
      </c>
      <c r="U23" s="69" t="s">
        <v>173</v>
      </c>
      <c r="V23" s="17" t="s">
        <v>2</v>
      </c>
      <c r="W23" s="18" t="s">
        <v>3</v>
      </c>
      <c r="X23" s="18" t="s">
        <v>174</v>
      </c>
      <c r="Y23" s="18" t="s">
        <v>3</v>
      </c>
    </row>
    <row r="24" spans="2:25" ht="19.2" x14ac:dyDescent="0.4">
      <c r="B24" s="461"/>
      <c r="C24" s="462"/>
      <c r="D24" s="462"/>
      <c r="E24" s="462"/>
      <c r="F24" s="462" t="s">
        <v>175</v>
      </c>
      <c r="G24" s="462"/>
      <c r="H24" s="547"/>
      <c r="I24" s="548"/>
      <c r="J24" s="548"/>
      <c r="K24" s="548"/>
      <c r="L24" s="552" t="s">
        <v>171</v>
      </c>
      <c r="M24" s="552"/>
      <c r="N24" s="552"/>
      <c r="O24" s="561"/>
      <c r="P24" s="561"/>
      <c r="Q24" s="562"/>
      <c r="T24" s="29" t="s">
        <v>176</v>
      </c>
      <c r="U24" s="70" t="s">
        <v>4</v>
      </c>
      <c r="V24" s="17" t="s">
        <v>177</v>
      </c>
      <c r="W24" s="17" t="s">
        <v>2</v>
      </c>
      <c r="X24" s="17" t="s">
        <v>3</v>
      </c>
      <c r="Y24" s="17" t="s">
        <v>2</v>
      </c>
    </row>
    <row r="25" spans="2:25" ht="19.8" thickBot="1" x14ac:dyDescent="0.45">
      <c r="B25" s="461"/>
      <c r="C25" s="462"/>
      <c r="D25" s="462"/>
      <c r="E25" s="462"/>
      <c r="F25" s="563" t="s">
        <v>178</v>
      </c>
      <c r="G25" s="563"/>
      <c r="H25" s="564"/>
      <c r="I25" s="564"/>
      <c r="J25" s="564"/>
      <c r="K25" s="564"/>
      <c r="L25" s="565"/>
      <c r="M25" s="565"/>
      <c r="N25" s="565"/>
      <c r="O25" s="565"/>
      <c r="P25" s="565"/>
      <c r="Q25" s="566"/>
      <c r="T25" s="29" t="s">
        <v>179</v>
      </c>
      <c r="U25" s="69" t="s">
        <v>180</v>
      </c>
      <c r="V25" s="17" t="s">
        <v>4</v>
      </c>
      <c r="W25" s="19" t="s">
        <v>5</v>
      </c>
      <c r="X25" s="19" t="s">
        <v>181</v>
      </c>
      <c r="Y25" s="18" t="s">
        <v>6</v>
      </c>
    </row>
    <row r="26" spans="2:25" ht="13.5" customHeight="1" thickTop="1" x14ac:dyDescent="0.4">
      <c r="B26" s="567" t="s">
        <v>182</v>
      </c>
      <c r="C26" s="538"/>
      <c r="D26" s="538"/>
      <c r="E26" s="538"/>
      <c r="F26" s="569" t="s">
        <v>576</v>
      </c>
      <c r="G26" s="570"/>
      <c r="H26" s="575" t="s">
        <v>183</v>
      </c>
      <c r="I26" s="575"/>
      <c r="J26" s="575"/>
      <c r="K26" s="576"/>
      <c r="L26" s="579" t="s">
        <v>184</v>
      </c>
      <c r="M26" s="575"/>
      <c r="N26" s="582"/>
      <c r="O26" s="583"/>
      <c r="P26" s="583"/>
      <c r="Q26" s="584"/>
      <c r="T26" s="29" t="s">
        <v>169</v>
      </c>
      <c r="U26" s="69" t="s">
        <v>185</v>
      </c>
      <c r="V26" s="17" t="s">
        <v>7</v>
      </c>
      <c r="W26" s="18" t="s">
        <v>8</v>
      </c>
      <c r="X26" s="19" t="s">
        <v>4</v>
      </c>
      <c r="Y26" s="17" t="s">
        <v>4</v>
      </c>
    </row>
    <row r="27" spans="2:25" ht="14.25" customHeight="1" x14ac:dyDescent="0.4">
      <c r="B27" s="567"/>
      <c r="C27" s="538"/>
      <c r="D27" s="538"/>
      <c r="E27" s="538"/>
      <c r="F27" s="571"/>
      <c r="G27" s="572"/>
      <c r="H27" s="577"/>
      <c r="I27" s="577"/>
      <c r="J27" s="577"/>
      <c r="K27" s="578"/>
      <c r="L27" s="580"/>
      <c r="M27" s="577"/>
      <c r="N27" s="585"/>
      <c r="O27" s="586"/>
      <c r="P27" s="586"/>
      <c r="Q27" s="587"/>
      <c r="T27" s="29" t="s">
        <v>186</v>
      </c>
      <c r="U27" s="69" t="s">
        <v>187</v>
      </c>
      <c r="V27" s="17" t="s">
        <v>9</v>
      </c>
      <c r="W27" s="18" t="s">
        <v>10</v>
      </c>
      <c r="X27" s="19" t="s">
        <v>7</v>
      </c>
      <c r="Y27" s="20" t="s">
        <v>188</v>
      </c>
    </row>
    <row r="28" spans="2:25" ht="14.25" customHeight="1" thickBot="1" x14ac:dyDescent="0.45">
      <c r="B28" s="568"/>
      <c r="C28" s="505"/>
      <c r="D28" s="505"/>
      <c r="E28" s="505"/>
      <c r="F28" s="573"/>
      <c r="G28" s="574"/>
      <c r="H28" s="591">
        <v>1</v>
      </c>
      <c r="I28" s="591"/>
      <c r="J28" s="591"/>
      <c r="K28" s="592"/>
      <c r="L28" s="581"/>
      <c r="M28" s="581"/>
      <c r="N28" s="588"/>
      <c r="O28" s="589"/>
      <c r="P28" s="589"/>
      <c r="Q28" s="590"/>
      <c r="U28" s="18" t="s">
        <v>189</v>
      </c>
      <c r="V28" s="17" t="s">
        <v>190</v>
      </c>
      <c r="W28" s="18" t="s">
        <v>7</v>
      </c>
      <c r="X28" s="18" t="s">
        <v>191</v>
      </c>
      <c r="Y28" s="18" t="s">
        <v>192</v>
      </c>
    </row>
    <row r="29" spans="2:25" ht="14.25" hidden="1" customHeight="1" thickTop="1" thickBot="1" x14ac:dyDescent="0.45">
      <c r="B29" s="593" t="s">
        <v>193</v>
      </c>
      <c r="C29" s="509"/>
      <c r="D29" s="509"/>
      <c r="E29" s="594"/>
      <c r="F29" s="595" t="s">
        <v>525</v>
      </c>
      <c r="G29" s="596"/>
      <c r="H29" s="71"/>
      <c r="I29" s="72" t="s">
        <v>194</v>
      </c>
      <c r="J29" s="62"/>
      <c r="K29" s="62"/>
      <c r="L29" s="73" t="s">
        <v>195</v>
      </c>
      <c r="M29" s="62"/>
      <c r="N29" s="62"/>
      <c r="O29" s="62"/>
      <c r="P29" s="62"/>
      <c r="Q29" s="68"/>
      <c r="U29" s="18" t="s">
        <v>196</v>
      </c>
      <c r="V29" s="17" t="s">
        <v>197</v>
      </c>
      <c r="W29" s="18" t="s">
        <v>11</v>
      </c>
      <c r="X29" s="19" t="s">
        <v>12</v>
      </c>
      <c r="Y29" s="18" t="s">
        <v>8</v>
      </c>
    </row>
    <row r="30" spans="2:25" ht="13.5" customHeight="1" thickTop="1" thickBot="1" x14ac:dyDescent="0.45">
      <c r="B30" s="74" t="s">
        <v>198</v>
      </c>
      <c r="C30" s="75"/>
      <c r="D30" s="75"/>
      <c r="E30" s="75"/>
      <c r="F30" s="75"/>
      <c r="G30" s="75"/>
      <c r="H30" s="76"/>
      <c r="I30" s="509"/>
      <c r="J30" s="509"/>
      <c r="K30" s="509"/>
      <c r="L30" s="509"/>
      <c r="M30" s="509"/>
      <c r="N30" s="509"/>
      <c r="O30" s="509"/>
      <c r="P30" s="509"/>
      <c r="Q30" s="597"/>
      <c r="U30" s="19" t="s">
        <v>12</v>
      </c>
      <c r="V30" s="18" t="s">
        <v>199</v>
      </c>
      <c r="W30" s="19" t="s">
        <v>13</v>
      </c>
      <c r="X30" s="19" t="s">
        <v>9</v>
      </c>
      <c r="Y30" s="17" t="s">
        <v>10</v>
      </c>
    </row>
    <row r="31" spans="2:25" ht="14.1" customHeight="1" thickTop="1" thickBot="1" x14ac:dyDescent="0.45">
      <c r="B31" s="598"/>
      <c r="C31" s="601" t="s">
        <v>200</v>
      </c>
      <c r="D31" s="602"/>
      <c r="E31" s="602"/>
      <c r="F31" s="602"/>
      <c r="G31" s="77">
        <v>0.1</v>
      </c>
      <c r="Q31" s="78"/>
      <c r="U31" s="18" t="s">
        <v>201</v>
      </c>
      <c r="V31" s="17" t="s">
        <v>14</v>
      </c>
      <c r="W31" s="18" t="s">
        <v>15</v>
      </c>
      <c r="X31" s="18" t="s">
        <v>202</v>
      </c>
      <c r="Y31" s="17" t="s">
        <v>7</v>
      </c>
    </row>
    <row r="32" spans="2:25" ht="14.1" customHeight="1" thickTop="1" thickBot="1" x14ac:dyDescent="0.45">
      <c r="B32" s="599"/>
      <c r="C32" s="601" t="s">
        <v>203</v>
      </c>
      <c r="D32" s="602"/>
      <c r="E32" s="602"/>
      <c r="F32" s="602"/>
      <c r="G32" s="77">
        <v>0.1</v>
      </c>
      <c r="K32" s="79"/>
      <c r="L32" s="3" t="s">
        <v>204</v>
      </c>
      <c r="Q32" s="78"/>
      <c r="U32" s="18" t="s">
        <v>205</v>
      </c>
      <c r="V32" s="17" t="s">
        <v>206</v>
      </c>
      <c r="W32" s="18" t="s">
        <v>12</v>
      </c>
      <c r="X32" s="19" t="s">
        <v>190</v>
      </c>
      <c r="Y32" s="18" t="s">
        <v>11</v>
      </c>
    </row>
    <row r="33" spans="2:25" ht="14.1" customHeight="1" thickTop="1" thickBot="1" x14ac:dyDescent="0.45">
      <c r="B33" s="599"/>
      <c r="C33" s="601" t="s">
        <v>207</v>
      </c>
      <c r="D33" s="602"/>
      <c r="E33" s="602"/>
      <c r="F33" s="602"/>
      <c r="G33" s="77">
        <v>0.1</v>
      </c>
      <c r="L33" s="4" t="s">
        <v>208</v>
      </c>
      <c r="Q33" s="78"/>
      <c r="U33" s="18" t="s">
        <v>209</v>
      </c>
      <c r="V33" s="17" t="s">
        <v>16</v>
      </c>
      <c r="W33" s="19" t="s">
        <v>9</v>
      </c>
      <c r="X33" s="19" t="s">
        <v>197</v>
      </c>
      <c r="Y33" s="18" t="s">
        <v>17</v>
      </c>
    </row>
    <row r="34" spans="2:25" ht="14.1" customHeight="1" thickTop="1" thickBot="1" x14ac:dyDescent="0.45">
      <c r="B34" s="600"/>
      <c r="C34" s="603" t="s">
        <v>210</v>
      </c>
      <c r="D34" s="604"/>
      <c r="E34" s="604"/>
      <c r="F34" s="604"/>
      <c r="G34" s="77">
        <v>0.1</v>
      </c>
      <c r="Q34" s="78"/>
      <c r="U34" s="18" t="s">
        <v>211</v>
      </c>
      <c r="V34" s="18" t="s">
        <v>18</v>
      </c>
      <c r="W34" s="18" t="s">
        <v>19</v>
      </c>
      <c r="X34" s="18" t="s">
        <v>20</v>
      </c>
      <c r="Y34" s="18" t="s">
        <v>15</v>
      </c>
    </row>
    <row r="35" spans="2:25" ht="8.25" customHeight="1" thickBot="1" x14ac:dyDescent="0.45">
      <c r="B35" s="80"/>
      <c r="C35" s="81"/>
      <c r="D35" s="81"/>
      <c r="E35" s="81"/>
      <c r="F35" s="81"/>
      <c r="G35" s="82"/>
      <c r="H35" s="83"/>
      <c r="I35" s="83"/>
      <c r="J35" s="83"/>
      <c r="K35" s="83"/>
      <c r="L35" s="83"/>
      <c r="M35" s="83"/>
      <c r="N35" s="83"/>
      <c r="O35" s="83"/>
      <c r="P35" s="83"/>
      <c r="Q35" s="84"/>
      <c r="W35" s="18" t="s">
        <v>212</v>
      </c>
      <c r="Y35" s="18" t="s">
        <v>12</v>
      </c>
    </row>
    <row r="36" spans="2:25" ht="12" customHeight="1" x14ac:dyDescent="0.4">
      <c r="W36" s="18" t="s">
        <v>190</v>
      </c>
      <c r="Y36" s="20" t="s">
        <v>21</v>
      </c>
    </row>
    <row r="37" spans="2:25" ht="19.2" x14ac:dyDescent="0.4">
      <c r="Q37" s="2" t="s">
        <v>523</v>
      </c>
      <c r="W37" s="18" t="s">
        <v>22</v>
      </c>
      <c r="Y37" s="18" t="s">
        <v>213</v>
      </c>
    </row>
    <row r="38" spans="2:25" ht="19.2" x14ac:dyDescent="0.4">
      <c r="W38" s="19" t="s">
        <v>23</v>
      </c>
      <c r="Y38" s="18" t="s">
        <v>190</v>
      </c>
    </row>
    <row r="39" spans="2:25" ht="19.2" x14ac:dyDescent="0.4">
      <c r="W39" s="18" t="s">
        <v>24</v>
      </c>
      <c r="Y39" s="18" t="s">
        <v>25</v>
      </c>
    </row>
    <row r="40" spans="2:25" ht="19.2" x14ac:dyDescent="0.4">
      <c r="W40" s="18" t="s">
        <v>26</v>
      </c>
      <c r="Y40" s="18" t="s">
        <v>27</v>
      </c>
    </row>
    <row r="41" spans="2:25" ht="19.2" x14ac:dyDescent="0.4">
      <c r="W41" s="18" t="s">
        <v>214</v>
      </c>
      <c r="Y41" s="18" t="s">
        <v>24</v>
      </c>
    </row>
    <row r="42" spans="2:25" ht="19.2" x14ac:dyDescent="0.4">
      <c r="W42" s="19" t="s">
        <v>28</v>
      </c>
      <c r="Y42" s="18" t="s">
        <v>26</v>
      </c>
    </row>
    <row r="43" spans="2:25" ht="19.2" x14ac:dyDescent="0.4">
      <c r="W43" s="18" t="s">
        <v>29</v>
      </c>
      <c r="Y43" s="21" t="s">
        <v>28</v>
      </c>
    </row>
    <row r="44" spans="2:25" ht="19.2" x14ac:dyDescent="0.4">
      <c r="W44" s="18" t="s">
        <v>20</v>
      </c>
      <c r="Y44" s="18" t="s">
        <v>30</v>
      </c>
    </row>
    <row r="45" spans="2:25" ht="19.2" x14ac:dyDescent="0.4">
      <c r="W45" s="18" t="s">
        <v>31</v>
      </c>
      <c r="Y45" s="18" t="s">
        <v>31</v>
      </c>
    </row>
    <row r="46" spans="2:25" ht="19.2" x14ac:dyDescent="0.4">
      <c r="W46" s="18" t="s">
        <v>18</v>
      </c>
    </row>
  </sheetData>
  <sheetProtection algorithmName="SHA-512" hashValue="/NPT+YfvSuE3KqsvImIsRS/2wJZUk45YDWqCYdtNaiJo7QttPd4UFRuk9k6iDFYvhlNJUKz1b1IysnwtDMRvNw==" saltValue="g+SEaEtlhyCU9xoYh6nF8g==" spinCount="100000" sheet="1" objects="1" scenarios="1"/>
  <mergeCells count="91">
    <mergeCell ref="B29:E29"/>
    <mergeCell ref="F29:G29"/>
    <mergeCell ref="I30:Q30"/>
    <mergeCell ref="B31:B34"/>
    <mergeCell ref="C31:F31"/>
    <mergeCell ref="C32:F32"/>
    <mergeCell ref="C33:F33"/>
    <mergeCell ref="C34:F34"/>
    <mergeCell ref="B26:E28"/>
    <mergeCell ref="F26:G28"/>
    <mergeCell ref="H26:K27"/>
    <mergeCell ref="L26:M28"/>
    <mergeCell ref="N26:Q28"/>
    <mergeCell ref="H28:K28"/>
    <mergeCell ref="H24:K24"/>
    <mergeCell ref="L24:N24"/>
    <mergeCell ref="O24:Q24"/>
    <mergeCell ref="F25:G25"/>
    <mergeCell ref="H25:Q25"/>
    <mergeCell ref="B19:E19"/>
    <mergeCell ref="F19:G19"/>
    <mergeCell ref="F20:G20"/>
    <mergeCell ref="B21:E25"/>
    <mergeCell ref="F21:G21"/>
    <mergeCell ref="F24:G24"/>
    <mergeCell ref="H21:Q21"/>
    <mergeCell ref="F22:G22"/>
    <mergeCell ref="H22:K22"/>
    <mergeCell ref="L22:Q22"/>
    <mergeCell ref="F23:G23"/>
    <mergeCell ref="H23:K23"/>
    <mergeCell ref="L23:N23"/>
    <mergeCell ref="O23:Q23"/>
    <mergeCell ref="I16:Q16"/>
    <mergeCell ref="B17:E17"/>
    <mergeCell ref="F17:G17"/>
    <mergeCell ref="B18:E18"/>
    <mergeCell ref="F18:G18"/>
    <mergeCell ref="H18:J18"/>
    <mergeCell ref="K18:M18"/>
    <mergeCell ref="N18:Q18"/>
    <mergeCell ref="B12:B16"/>
    <mergeCell ref="F12:G12"/>
    <mergeCell ref="H12:Q12"/>
    <mergeCell ref="C13:E13"/>
    <mergeCell ref="F13:G13"/>
    <mergeCell ref="H13:Q13"/>
    <mergeCell ref="C14:E16"/>
    <mergeCell ref="F14:G14"/>
    <mergeCell ref="H14:Q14"/>
    <mergeCell ref="I15:Q15"/>
    <mergeCell ref="B10:E10"/>
    <mergeCell ref="F10:J10"/>
    <mergeCell ref="K10:M10"/>
    <mergeCell ref="N10:O10"/>
    <mergeCell ref="P10:Q10"/>
    <mergeCell ref="B11:E11"/>
    <mergeCell ref="F11:J11"/>
    <mergeCell ref="K11:M11"/>
    <mergeCell ref="N11:O11"/>
    <mergeCell ref="P11:Q11"/>
    <mergeCell ref="B8:E8"/>
    <mergeCell ref="G8:H8"/>
    <mergeCell ref="I8:L8"/>
    <mergeCell ref="M8:N8"/>
    <mergeCell ref="O8:Q8"/>
    <mergeCell ref="B9:E9"/>
    <mergeCell ref="G9:H9"/>
    <mergeCell ref="I9:L9"/>
    <mergeCell ref="M9:N9"/>
    <mergeCell ref="O9:Q9"/>
    <mergeCell ref="B6:E6"/>
    <mergeCell ref="G6:H6"/>
    <mergeCell ref="I6:L6"/>
    <mergeCell ref="M6:N6"/>
    <mergeCell ref="O6:Q6"/>
    <mergeCell ref="B7:E7"/>
    <mergeCell ref="G7:H7"/>
    <mergeCell ref="I7:L7"/>
    <mergeCell ref="M7:N7"/>
    <mergeCell ref="O7:Q7"/>
    <mergeCell ref="B2:Q2"/>
    <mergeCell ref="B3:Q3"/>
    <mergeCell ref="B4:E4"/>
    <mergeCell ref="F4:M4"/>
    <mergeCell ref="N4:Q4"/>
    <mergeCell ref="B5:E5"/>
    <mergeCell ref="G5:H5"/>
    <mergeCell ref="I5:L5"/>
    <mergeCell ref="M5:N5"/>
    <mergeCell ref="O5:Q5"/>
  </mergeCells>
  <phoneticPr fontId="2" type="noConversion"/>
  <dataValidations count="9">
    <dataValidation type="list" allowBlank="1" showInputMessage="1" showErrorMessage="1" sqref="H22" xr:uid="{00000000-0002-0000-0000-000000000000}">
      <formula1>"협력사, 단순거래사(협력사관리팀 협의필수)"</formula1>
    </dataValidation>
    <dataValidation type="list" allowBlank="1" showInputMessage="1" showErrorMessage="1" sqref="F20" xr:uid="{00000000-0002-0000-0000-000001000000}">
      <formula1>"SI(신규개발), SM(고도화/유지보수포함),OP(단순유지보수)"</formula1>
    </dataValidation>
    <dataValidation type="list" allowBlank="1" showInputMessage="1" showErrorMessage="1" sqref="G31:G35" xr:uid="{00000000-0002-0000-0000-000002000000}">
      <formula1>"0%, 2%,4%,8%,10%,20%,30%,40%,50%"</formula1>
    </dataValidation>
    <dataValidation operator="lessThanOrEqual" allowBlank="1" showInputMessage="1" showErrorMessage="1" errorTitle="3MM 초과불가" error="3MM 금액초과하였습니다._x000a_별도 SW대가 선정 MM양식으로 작성(여기는 작성하지 마세요)" sqref="F14:G14" xr:uid="{00000000-0002-0000-0000-000003000000}"/>
    <dataValidation type="list" allowBlank="1" showInputMessage="1" showErrorMessage="1" sqref="G15" xr:uid="{00000000-0002-0000-0000-000004000000}">
      <formula1>"0,0.2,0.4,0.5,0.6,0.8,1,1.2,1.4,1.5,1.6,1.8,2,2.2,2.4,2.5,2.6,2.8,3"</formula1>
    </dataValidation>
    <dataValidation type="list" allowBlank="1" showInputMessage="1" showErrorMessage="1" sqref="F17:G17" xr:uid="{00000000-0002-0000-0000-000005000000}">
      <formula1>"S,A,B,C,아직못받음, 신규개발 사업"</formula1>
    </dataValidation>
    <dataValidation type="list" allowBlank="1" showInputMessage="1" showErrorMessage="1" sqref="F29:G29" xr:uid="{00000000-0002-0000-0000-000006000000}">
      <formula1>"KTDS or KTH참여, 미참여"</formula1>
    </dataValidation>
    <dataValidation type="list" allowBlank="1" showInputMessage="1" showErrorMessage="1" sqref="F26" xr:uid="{00000000-0002-0000-0000-000007000000}">
      <formula1>"신규개발, 고도화개발"</formula1>
    </dataValidation>
    <dataValidation type="list" allowBlank="1" showInputMessage="1" showErrorMessage="1" sqref="F21" xr:uid="{00000000-0002-0000-0000-000008000000}">
      <formula1>"수의계약,경쟁입찰,지명경쟁입찰"</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1:Q102"/>
  <sheetViews>
    <sheetView tabSelected="1" topLeftCell="B51" zoomScale="85" zoomScaleNormal="85" workbookViewId="0">
      <selection activeCell="K47" sqref="K47"/>
    </sheetView>
  </sheetViews>
  <sheetFormatPr defaultColWidth="10" defaultRowHeight="14.4" x14ac:dyDescent="0.4"/>
  <cols>
    <col min="1" max="1" width="1.296875" style="85" customWidth="1"/>
    <col min="2" max="2" width="18.296875" style="85" customWidth="1"/>
    <col min="3" max="3" width="4.69921875" style="86" bestFit="1" customWidth="1"/>
    <col min="4" max="4" width="33.19921875" style="86" customWidth="1"/>
    <col min="5" max="5" width="62.19921875" style="85" customWidth="1"/>
    <col min="6" max="6" width="9.5" style="86" customWidth="1"/>
    <col min="7" max="7" width="7.19921875" style="87" customWidth="1"/>
    <col min="8" max="8" width="7.19921875" style="86" customWidth="1"/>
    <col min="9" max="9" width="6.69921875" style="86" customWidth="1"/>
    <col min="10" max="13" width="5.5" style="86" customWidth="1"/>
    <col min="14" max="14" width="6.296875" style="86" customWidth="1"/>
    <col min="15" max="15" width="26.296875" style="86" customWidth="1"/>
    <col min="16" max="16" width="55.296875" style="85" customWidth="1"/>
    <col min="17" max="17" width="33.796875" style="85" customWidth="1"/>
    <col min="18" max="16384" width="10" style="85"/>
  </cols>
  <sheetData>
    <row r="1" spans="2:17" ht="6.75" customHeight="1" x14ac:dyDescent="0.4"/>
    <row r="2" spans="2:17" s="86" customFormat="1" ht="43.8" thickBot="1" x14ac:dyDescent="0.45">
      <c r="B2" s="88" t="s">
        <v>215</v>
      </c>
      <c r="C2" s="89"/>
      <c r="D2" s="90"/>
      <c r="E2" s="90"/>
      <c r="F2" s="91" t="s">
        <v>98</v>
      </c>
      <c r="G2" s="92" t="s">
        <v>216</v>
      </c>
      <c r="H2" s="93" t="s">
        <v>217</v>
      </c>
      <c r="I2" s="94" t="s">
        <v>218</v>
      </c>
      <c r="J2" s="94" t="s">
        <v>219</v>
      </c>
      <c r="K2" s="94" t="s">
        <v>220</v>
      </c>
      <c r="L2" s="94" t="s">
        <v>221</v>
      </c>
      <c r="M2" s="94" t="s">
        <v>222</v>
      </c>
      <c r="N2" s="95" t="s">
        <v>223</v>
      </c>
      <c r="O2" s="96" t="str">
        <f>'1.필수작성'!F4</f>
        <v>위치 문자 서비스</v>
      </c>
    </row>
    <row r="3" spans="2:17" s="86" customFormat="1" x14ac:dyDescent="0.4">
      <c r="B3" s="97"/>
      <c r="C3" s="98"/>
      <c r="D3" s="99" t="s">
        <v>224</v>
      </c>
      <c r="E3" s="100" t="s">
        <v>225</v>
      </c>
      <c r="F3" s="101">
        <f>SUM(G3:M3)</f>
        <v>31</v>
      </c>
      <c r="G3" s="102">
        <f>SUMIF($F$23:$F$102,"신규",$G$23:$G$102)</f>
        <v>7</v>
      </c>
      <c r="H3" s="103">
        <f>SUMIF($F$23:$F$102,"신규",$H$23:$H$102)</f>
        <v>2</v>
      </c>
      <c r="I3" s="103">
        <f>SUMIF($F$23:$F$102,"신규",$I$23:$I$102)</f>
        <v>1</v>
      </c>
      <c r="J3" s="103">
        <f>SUMIF($F$23:$F$102,"신규",$J$23:$J$102)</f>
        <v>6</v>
      </c>
      <c r="K3" s="103">
        <f>SUMIF($F$23:$F$102,"신규",$K$23:$K$102)</f>
        <v>8</v>
      </c>
      <c r="L3" s="103">
        <f>SUMIF($F$23:$F$102,"신규",$L$23:$L$102)</f>
        <v>6</v>
      </c>
      <c r="M3" s="104">
        <f>SUMIF($F$23:$F$102,"신규",$M$23:$M$102)</f>
        <v>1</v>
      </c>
      <c r="N3" s="605" t="s">
        <v>226</v>
      </c>
      <c r="O3" s="105"/>
    </row>
    <row r="4" spans="2:17" s="86" customFormat="1" x14ac:dyDescent="0.4">
      <c r="B4" s="97"/>
      <c r="C4" s="98"/>
      <c r="D4" s="106">
        <v>0.1</v>
      </c>
      <c r="E4" s="100" t="s">
        <v>227</v>
      </c>
      <c r="F4" s="101">
        <f>SUM(G4:M4)</f>
        <v>0</v>
      </c>
      <c r="G4" s="102">
        <f>SUMIF($F$23:$F$102,"소변경",$G$23:$G$102)</f>
        <v>0</v>
      </c>
      <c r="H4" s="103">
        <f>SUMIF($F$23:$F$102,"소변경",$H$23:$H$102)</f>
        <v>0</v>
      </c>
      <c r="I4" s="103">
        <f>SUMIF($F$23:$F$102,"소변경",$I$23:$I$102)</f>
        <v>0</v>
      </c>
      <c r="J4" s="103">
        <f>SUMIF($F$23:$F$102,"소변경",$J$23:$J$102)</f>
        <v>0</v>
      </c>
      <c r="K4" s="103">
        <f>SUMIF($F$23:$F$102,"소변경",$K$23:$K$102)</f>
        <v>0</v>
      </c>
      <c r="L4" s="103">
        <f>SUMIF($F$23:$F$102,"소변경",$L$23:$L$102)</f>
        <v>0</v>
      </c>
      <c r="M4" s="104">
        <f>SUMIF($F$23:$F$102,"소변경",$M$23:$M$102)</f>
        <v>0</v>
      </c>
      <c r="N4" s="606"/>
      <c r="O4" s="105" t="str">
        <f>CONCATENATE('1.필수작성'!B11," ▶ ",'1.필수작성'!N11)</f>
        <v>FP작성자 ▶ 박민수</v>
      </c>
      <c r="P4" s="107"/>
      <c r="Q4" s="107"/>
    </row>
    <row r="5" spans="2:17" s="86" customFormat="1" x14ac:dyDescent="0.4">
      <c r="B5" s="97"/>
      <c r="C5" s="98"/>
      <c r="D5" s="106">
        <v>0.25</v>
      </c>
      <c r="E5" s="100" t="s">
        <v>228</v>
      </c>
      <c r="F5" s="101">
        <f>SUM(G5:M5)</f>
        <v>0</v>
      </c>
      <c r="G5" s="102">
        <f>SUMIF($F$23:$F$102,"중변경",$G$23:$G$102)</f>
        <v>0</v>
      </c>
      <c r="H5" s="103">
        <f>SUMIF($F$23:$F$102,"중변경",$H$23:$H$102)</f>
        <v>0</v>
      </c>
      <c r="I5" s="103">
        <f>SUMIF($F$23:$F$102,"중변경",$I$23:$I$102)</f>
        <v>0</v>
      </c>
      <c r="J5" s="103">
        <f>SUMIF($F$23:$F$102,"중변경",$J$23:$J$102)</f>
        <v>0</v>
      </c>
      <c r="K5" s="103">
        <f>SUMIF($F$23:$F$102,"중변경",$K$23:$K$102)</f>
        <v>0</v>
      </c>
      <c r="L5" s="103">
        <f>SUMIF($F$23:$F$102,"중변경",$L$23:$L$102)</f>
        <v>0</v>
      </c>
      <c r="M5" s="104">
        <f>SUMIF($F$23:$F$102,"중변경",$M$23:$M$102)</f>
        <v>0</v>
      </c>
      <c r="N5" s="606"/>
      <c r="O5" s="105" t="str">
        <f>CONCATENATE('1.필수작성'!B10," ▶ ",'1.필수작성'!N10)</f>
        <v>FP검토자(KT직원) ▶ 박민수</v>
      </c>
      <c r="P5" s="107"/>
      <c r="Q5" s="107"/>
    </row>
    <row r="6" spans="2:17" s="86" customFormat="1" x14ac:dyDescent="0.4">
      <c r="B6" s="97"/>
      <c r="C6" s="98"/>
      <c r="D6" s="106">
        <v>0.5</v>
      </c>
      <c r="E6" s="100" t="s">
        <v>229</v>
      </c>
      <c r="F6" s="101">
        <f>SUM(G6:M6)</f>
        <v>0</v>
      </c>
      <c r="G6" s="102">
        <f>SUMIF($F$23:$F$102,"대변경",$G$23:$G$102)</f>
        <v>0</v>
      </c>
      <c r="H6" s="103">
        <f>SUMIF($F$23:$F$102,"대변경",$H$23:$H$102)</f>
        <v>0</v>
      </c>
      <c r="I6" s="103">
        <f>SUMIF($F$23:$F$102,"대변경",$I$23:$I$102)</f>
        <v>0</v>
      </c>
      <c r="J6" s="103">
        <f>SUMIF($F$23:$F$102,"대변경",$J$23:$J$102)</f>
        <v>0</v>
      </c>
      <c r="K6" s="103">
        <f>SUMIF($F$23:$F$102,"대변경",$K$23:$K$102)</f>
        <v>0</v>
      </c>
      <c r="L6" s="103">
        <f>SUMIF($F$23:$F$102,"대변경",$L$23:$L$102)</f>
        <v>0</v>
      </c>
      <c r="M6" s="104">
        <f>SUMIF($F$23:$F$102,"대변경",$M$23:$M$102)</f>
        <v>0</v>
      </c>
      <c r="N6" s="607"/>
      <c r="O6" s="105"/>
      <c r="P6" s="107"/>
      <c r="Q6" s="107"/>
    </row>
    <row r="7" spans="2:17" s="86" customFormat="1" x14ac:dyDescent="0.4">
      <c r="B7" s="97"/>
      <c r="C7" s="98"/>
      <c r="D7" s="90"/>
      <c r="E7" s="100" t="s">
        <v>230</v>
      </c>
      <c r="F7" s="108">
        <f>SUM(F3:F6)</f>
        <v>31</v>
      </c>
      <c r="G7" s="109">
        <f t="shared" ref="G7:M7" si="0">SUM(G3:G6)</f>
        <v>7</v>
      </c>
      <c r="H7" s="110">
        <f t="shared" si="0"/>
        <v>2</v>
      </c>
      <c r="I7" s="111">
        <f t="shared" si="0"/>
        <v>1</v>
      </c>
      <c r="J7" s="111">
        <f t="shared" si="0"/>
        <v>6</v>
      </c>
      <c r="K7" s="111">
        <f t="shared" si="0"/>
        <v>8</v>
      </c>
      <c r="L7" s="111">
        <f t="shared" si="0"/>
        <v>6</v>
      </c>
      <c r="M7" s="111">
        <f t="shared" si="0"/>
        <v>1</v>
      </c>
      <c r="N7" s="112">
        <f>INT(SUM($N$23:$N$102))</f>
        <v>152</v>
      </c>
      <c r="O7" s="113" t="s">
        <v>231</v>
      </c>
      <c r="P7" s="107"/>
      <c r="Q7" s="107"/>
    </row>
    <row r="8" spans="2:17" s="86" customFormat="1" ht="15" thickBot="1" x14ac:dyDescent="0.45">
      <c r="B8" s="114"/>
      <c r="C8" s="115"/>
      <c r="D8" s="116">
        <v>4</v>
      </c>
      <c r="E8" s="117"/>
      <c r="F8" s="118" t="s">
        <v>232</v>
      </c>
      <c r="G8" s="119">
        <v>0.11573566995253744</v>
      </c>
      <c r="H8" s="608" t="s">
        <v>233</v>
      </c>
      <c r="I8" s="609"/>
      <c r="J8" s="609"/>
      <c r="K8" s="609"/>
      <c r="L8" s="610"/>
      <c r="M8" s="120">
        <f>INT('3.산정결과'!C25)</f>
        <v>152</v>
      </c>
      <c r="N8" s="121" t="str">
        <f>IF(M8=N7,"OK","NOK")</f>
        <v>OK</v>
      </c>
      <c r="O8" s="122" t="s">
        <v>231</v>
      </c>
    </row>
    <row r="9" spans="2:17" s="86" customFormat="1" ht="15.6" thickTop="1" thickBot="1" x14ac:dyDescent="0.45">
      <c r="B9" s="97"/>
      <c r="C9" s="98"/>
      <c r="D9" s="90"/>
      <c r="E9" s="90"/>
      <c r="F9" s="123" t="s">
        <v>234</v>
      </c>
      <c r="G9" s="124" t="s">
        <v>235</v>
      </c>
      <c r="H9" s="125">
        <v>0</v>
      </c>
      <c r="I9" s="126">
        <v>1</v>
      </c>
      <c r="J9" s="126">
        <v>0</v>
      </c>
      <c r="K9" s="127"/>
      <c r="L9" s="127"/>
      <c r="M9" s="127"/>
      <c r="N9" s="128"/>
      <c r="O9" s="129"/>
    </row>
    <row r="10" spans="2:17" s="86" customFormat="1" x14ac:dyDescent="0.4">
      <c r="B10" s="97"/>
      <c r="C10" s="98"/>
      <c r="D10" s="90"/>
      <c r="E10" s="90"/>
      <c r="F10" s="130"/>
      <c r="G10" s="131" t="s">
        <v>236</v>
      </c>
      <c r="H10" s="131" t="s">
        <v>237</v>
      </c>
      <c r="I10" s="131" t="s">
        <v>238</v>
      </c>
      <c r="J10" s="131" t="s">
        <v>239</v>
      </c>
      <c r="K10" s="132" t="s">
        <v>240</v>
      </c>
      <c r="L10" s="132"/>
      <c r="M10" s="132"/>
      <c r="N10" s="132"/>
      <c r="O10" s="133" t="s">
        <v>241</v>
      </c>
    </row>
    <row r="11" spans="2:17" s="86" customFormat="1" x14ac:dyDescent="0.4">
      <c r="B11" s="97"/>
      <c r="C11" s="98"/>
      <c r="D11" s="90"/>
      <c r="E11" s="90"/>
      <c r="F11" s="130"/>
      <c r="G11" s="134">
        <f>SUMIF($O26:$O$102,G10,$N26:$N$102)</f>
        <v>147.40000000000003</v>
      </c>
      <c r="H11" s="134">
        <f>SUMIF($O26:$O$102,H10,$N26:$N$102)</f>
        <v>5.4</v>
      </c>
      <c r="I11" s="134">
        <f>SUMIF($O26:$O$102,I10,$N26:$N$102)</f>
        <v>0</v>
      </c>
      <c r="J11" s="134">
        <f>SUMIF($O26:$O$102,J10,$N26:$N$102)</f>
        <v>0</v>
      </c>
      <c r="K11" s="134">
        <f>SUMIF($O26:$O$102,K10,$N26:$N$102)</f>
        <v>0</v>
      </c>
      <c r="L11" s="134"/>
      <c r="M11" s="134"/>
      <c r="N11" s="134"/>
      <c r="O11" s="133"/>
    </row>
    <row r="12" spans="2:17" s="86" customFormat="1" ht="6" customHeight="1" x14ac:dyDescent="0.4">
      <c r="B12" s="97"/>
      <c r="C12" s="98"/>
      <c r="D12" s="98"/>
      <c r="E12" s="98"/>
      <c r="F12" s="135"/>
      <c r="G12" s="98"/>
      <c r="H12" s="98"/>
      <c r="I12" s="98"/>
      <c r="J12" s="98"/>
      <c r="K12" s="98"/>
      <c r="L12" s="98"/>
      <c r="M12" s="98"/>
      <c r="N12" s="98"/>
      <c r="O12" s="98"/>
    </row>
    <row r="13" spans="2:17" ht="14.25" customHeight="1" x14ac:dyDescent="0.4">
      <c r="B13" s="611" t="s">
        <v>242</v>
      </c>
      <c r="C13" s="612"/>
      <c r="D13" s="615" t="s">
        <v>243</v>
      </c>
      <c r="E13" s="615" t="s">
        <v>244</v>
      </c>
      <c r="F13" s="136"/>
      <c r="G13" s="617" t="s">
        <v>245</v>
      </c>
      <c r="H13" s="617"/>
      <c r="I13" s="617"/>
      <c r="J13" s="617" t="s">
        <v>219</v>
      </c>
      <c r="K13" s="617" t="s">
        <v>220</v>
      </c>
      <c r="L13" s="618" t="s">
        <v>221</v>
      </c>
      <c r="M13" s="618" t="s">
        <v>222</v>
      </c>
      <c r="N13" s="619" t="s">
        <v>246</v>
      </c>
      <c r="O13" s="621" t="s">
        <v>247</v>
      </c>
    </row>
    <row r="14" spans="2:17" ht="33.75" customHeight="1" x14ac:dyDescent="0.4">
      <c r="B14" s="613"/>
      <c r="C14" s="614"/>
      <c r="D14" s="616"/>
      <c r="E14" s="616"/>
      <c r="F14" s="137"/>
      <c r="G14" s="138" t="s">
        <v>248</v>
      </c>
      <c r="H14" s="138" t="s">
        <v>249</v>
      </c>
      <c r="I14" s="138" t="s">
        <v>250</v>
      </c>
      <c r="J14" s="617"/>
      <c r="K14" s="617"/>
      <c r="L14" s="618"/>
      <c r="M14" s="618"/>
      <c r="N14" s="620"/>
      <c r="O14" s="622"/>
    </row>
    <row r="15" spans="2:17" ht="21" hidden="1" customHeight="1" x14ac:dyDescent="0.4">
      <c r="B15" s="613"/>
      <c r="C15" s="614"/>
      <c r="D15" s="139"/>
      <c r="E15" s="616"/>
      <c r="F15" s="140"/>
      <c r="G15" s="141">
        <v>4</v>
      </c>
      <c r="H15" s="141">
        <v>4</v>
      </c>
      <c r="I15" s="141">
        <v>4</v>
      </c>
      <c r="J15" s="141">
        <v>5.2</v>
      </c>
      <c r="K15" s="141">
        <v>3.9</v>
      </c>
      <c r="L15" s="142">
        <v>7.5</v>
      </c>
      <c r="M15" s="143">
        <v>5.4</v>
      </c>
      <c r="N15" s="620"/>
      <c r="O15" s="622"/>
    </row>
    <row r="16" spans="2:17" ht="19.5" customHeight="1" x14ac:dyDescent="0.4">
      <c r="B16" s="144" t="s">
        <v>251</v>
      </c>
      <c r="C16" s="144" t="s">
        <v>59</v>
      </c>
      <c r="D16" s="144" t="s">
        <v>251</v>
      </c>
      <c r="E16" s="616"/>
      <c r="F16" s="144" t="s">
        <v>59</v>
      </c>
      <c r="G16" s="624" t="s">
        <v>252</v>
      </c>
      <c r="H16" s="624"/>
      <c r="I16" s="624"/>
      <c r="J16" s="624"/>
      <c r="K16" s="624"/>
      <c r="L16" s="625" t="s">
        <v>253</v>
      </c>
      <c r="M16" s="625"/>
      <c r="N16" s="620"/>
      <c r="O16" s="623"/>
    </row>
    <row r="17" spans="2:15" s="86" customFormat="1" ht="13.5" customHeight="1" x14ac:dyDescent="0.4">
      <c r="B17" s="626" t="s">
        <v>254</v>
      </c>
      <c r="C17" s="629" t="s">
        <v>255</v>
      </c>
      <c r="D17" s="630"/>
      <c r="E17" s="145" t="s">
        <v>256</v>
      </c>
      <c r="F17" s="146" t="s">
        <v>257</v>
      </c>
      <c r="G17" s="147" t="s">
        <v>258</v>
      </c>
      <c r="H17" s="147" t="s">
        <v>258</v>
      </c>
      <c r="I17" s="148" t="s">
        <v>258</v>
      </c>
      <c r="J17" s="149" t="s">
        <v>259</v>
      </c>
      <c r="K17" s="148" t="s">
        <v>258</v>
      </c>
      <c r="L17" s="633"/>
      <c r="M17" s="634"/>
      <c r="N17" s="150"/>
      <c r="O17" s="151" t="s">
        <v>260</v>
      </c>
    </row>
    <row r="18" spans="2:15" s="86" customFormat="1" ht="15" thickBot="1" x14ac:dyDescent="0.45">
      <c r="B18" s="627"/>
      <c r="C18" s="631"/>
      <c r="D18" s="632"/>
      <c r="E18" s="152" t="s">
        <v>261</v>
      </c>
      <c r="F18" s="153" t="s">
        <v>257</v>
      </c>
      <c r="G18" s="635"/>
      <c r="H18" s="636"/>
      <c r="I18" s="636"/>
      <c r="J18" s="636"/>
      <c r="K18" s="637"/>
      <c r="L18" s="154" t="s">
        <v>258</v>
      </c>
      <c r="M18" s="155" t="s">
        <v>258</v>
      </c>
      <c r="N18" s="156"/>
      <c r="O18" s="157" t="s">
        <v>260</v>
      </c>
    </row>
    <row r="19" spans="2:15" s="86" customFormat="1" ht="13.5" customHeight="1" x14ac:dyDescent="0.4">
      <c r="B19" s="627"/>
      <c r="C19" s="638" t="s">
        <v>262</v>
      </c>
      <c r="D19" s="639"/>
      <c r="E19" s="642" t="s">
        <v>263</v>
      </c>
      <c r="F19" s="643"/>
      <c r="G19" s="643"/>
      <c r="H19" s="643"/>
      <c r="I19" s="643"/>
      <c r="J19" s="643"/>
      <c r="K19" s="643"/>
      <c r="L19" s="643"/>
      <c r="M19" s="643"/>
      <c r="N19" s="643"/>
      <c r="O19" s="644"/>
    </row>
    <row r="20" spans="2:15" s="86" customFormat="1" x14ac:dyDescent="0.4">
      <c r="B20" s="627"/>
      <c r="C20" s="631"/>
      <c r="D20" s="632"/>
      <c r="E20" s="645" t="s">
        <v>264</v>
      </c>
      <c r="F20" s="646"/>
      <c r="G20" s="646"/>
      <c r="H20" s="646"/>
      <c r="I20" s="646"/>
      <c r="J20" s="646"/>
      <c r="K20" s="646"/>
      <c r="L20" s="646"/>
      <c r="M20" s="646"/>
      <c r="N20" s="646"/>
      <c r="O20" s="647"/>
    </row>
    <row r="21" spans="2:15" s="86" customFormat="1" x14ac:dyDescent="0.4">
      <c r="B21" s="628"/>
      <c r="C21" s="640"/>
      <c r="D21" s="641"/>
      <c r="E21" s="648" t="s">
        <v>265</v>
      </c>
      <c r="F21" s="649"/>
      <c r="G21" s="649"/>
      <c r="H21" s="649"/>
      <c r="I21" s="649"/>
      <c r="J21" s="649"/>
      <c r="K21" s="649"/>
      <c r="L21" s="649"/>
      <c r="M21" s="649"/>
      <c r="N21" s="649"/>
      <c r="O21" s="650"/>
    </row>
    <row r="22" spans="2:15" s="162" customFormat="1" ht="16.2" thickBot="1" x14ac:dyDescent="0.45">
      <c r="B22" s="158" t="s">
        <v>266</v>
      </c>
      <c r="C22" s="159"/>
      <c r="D22" s="160"/>
      <c r="E22" s="161"/>
      <c r="F22" s="159"/>
      <c r="G22" s="664"/>
      <c r="H22" s="665"/>
      <c r="I22" s="665"/>
      <c r="J22" s="665"/>
      <c r="K22" s="665"/>
      <c r="L22" s="665"/>
      <c r="M22" s="665"/>
      <c r="N22" s="665"/>
      <c r="O22" s="666"/>
    </row>
    <row r="23" spans="2:15" s="162" customFormat="1" ht="16.2" thickBot="1" x14ac:dyDescent="0.45">
      <c r="B23" s="163" t="s">
        <v>267</v>
      </c>
      <c r="C23" s="163" t="s">
        <v>59</v>
      </c>
      <c r="D23" s="163" t="s">
        <v>268</v>
      </c>
      <c r="E23" s="164" t="s">
        <v>269</v>
      </c>
      <c r="F23" s="165"/>
      <c r="G23" s="667" t="s">
        <v>270</v>
      </c>
      <c r="H23" s="668"/>
      <c r="I23" s="668"/>
      <c r="J23" s="668"/>
      <c r="K23" s="668"/>
      <c r="L23" s="668"/>
      <c r="M23" s="669"/>
      <c r="N23" s="166" t="s">
        <v>271</v>
      </c>
      <c r="O23" s="167" t="s">
        <v>272</v>
      </c>
    </row>
    <row r="24" spans="2:15" s="170" customFormat="1" ht="13.2" x14ac:dyDescent="0.4">
      <c r="B24" s="168" t="s">
        <v>273</v>
      </c>
      <c r="C24" s="169"/>
      <c r="D24" s="168" t="s">
        <v>274</v>
      </c>
    </row>
    <row r="25" spans="2:15" s="162" customFormat="1" ht="25.5" customHeight="1" x14ac:dyDescent="0.4">
      <c r="B25" s="651" t="s">
        <v>252</v>
      </c>
      <c r="C25" s="652"/>
      <c r="D25" s="652"/>
      <c r="E25" s="653"/>
      <c r="F25" s="144" t="s">
        <v>59</v>
      </c>
      <c r="G25" s="171" t="s">
        <v>248</v>
      </c>
      <c r="H25" s="171" t="s">
        <v>275</v>
      </c>
      <c r="I25" s="171" t="s">
        <v>276</v>
      </c>
      <c r="J25" s="171" t="s">
        <v>277</v>
      </c>
      <c r="K25" s="171" t="s">
        <v>278</v>
      </c>
      <c r="L25" s="670" t="s">
        <v>279</v>
      </c>
      <c r="M25" s="671"/>
      <c r="N25" s="172" t="s">
        <v>280</v>
      </c>
      <c r="O25" s="171" t="s">
        <v>247</v>
      </c>
    </row>
    <row r="26" spans="2:15" s="170" customFormat="1" ht="12" hidden="1" customHeight="1" x14ac:dyDescent="0.4">
      <c r="B26" s="173"/>
      <c r="C26" s="169" t="s">
        <v>257</v>
      </c>
      <c r="D26" s="174"/>
      <c r="E26" s="174"/>
      <c r="F26" s="175" t="s">
        <v>257</v>
      </c>
      <c r="G26" s="175"/>
      <c r="H26" s="175"/>
      <c r="I26" s="175"/>
      <c r="J26" s="175"/>
      <c r="K26" s="175"/>
      <c r="L26" s="658" t="s">
        <v>281</v>
      </c>
      <c r="M26" s="660"/>
      <c r="N26" s="176">
        <f t="shared" ref="N26" si="1">IF($F26="신규",(($G26+$H26+$I26)*4+($J26*5.2)+($K26*3.9)), (($G26+$H26+$I26)*4+($J26*5.2)+($K26*3.9))*$I$8)</f>
        <v>0</v>
      </c>
      <c r="O26" s="177" t="s">
        <v>282</v>
      </c>
    </row>
    <row r="27" spans="2:15" s="170" customFormat="1" ht="13.2" x14ac:dyDescent="0.4">
      <c r="B27" s="168"/>
      <c r="C27" s="169"/>
      <c r="D27" s="168"/>
      <c r="L27" s="661"/>
      <c r="M27" s="663"/>
    </row>
    <row r="28" spans="2:15" s="170" customFormat="1" ht="13.2" x14ac:dyDescent="0.4">
      <c r="B28" s="168"/>
      <c r="C28" s="169"/>
      <c r="D28" s="168"/>
      <c r="L28" s="661"/>
      <c r="M28" s="663"/>
    </row>
    <row r="29" spans="2:15" s="170" customFormat="1" ht="17.25" customHeight="1" x14ac:dyDescent="0.4">
      <c r="B29" s="178" t="s">
        <v>580</v>
      </c>
      <c r="C29" s="169" t="s">
        <v>257</v>
      </c>
      <c r="D29" s="174" t="s">
        <v>581</v>
      </c>
      <c r="E29" s="179" t="s">
        <v>620</v>
      </c>
      <c r="F29" s="175" t="s">
        <v>257</v>
      </c>
      <c r="G29" s="175">
        <v>1</v>
      </c>
      <c r="H29" s="175"/>
      <c r="I29" s="175"/>
      <c r="J29" s="175"/>
      <c r="K29" s="175"/>
      <c r="L29" s="661"/>
      <c r="M29" s="663"/>
      <c r="N29" s="176">
        <f>IF($F29="신규",(($G29+$H29+$I29)*4+($J29*5.2)+($K29*3.9)),IF($F29="소변경",(($G29+$H29+$I29)*4+($J29*5.2)+($K29*3.9))*$D$4,IF($F29="중변경",(($G29+$H29+$I29)*4+($J29*5.2)+($K29*3.9))*$D$5,(($G29+$H29+$I29)*$D$8+($J29*5.2)+($K29*3.9))*$D$6)))</f>
        <v>4</v>
      </c>
      <c r="O29" s="180" t="s">
        <v>284</v>
      </c>
    </row>
    <row r="30" spans="2:15" s="170" customFormat="1" ht="17.25" customHeight="1" x14ac:dyDescent="0.4">
      <c r="B30" s="178"/>
      <c r="C30" s="169" t="s">
        <v>257</v>
      </c>
      <c r="D30" s="174" t="s">
        <v>582</v>
      </c>
      <c r="E30" s="179" t="s">
        <v>621</v>
      </c>
      <c r="F30" s="175" t="s">
        <v>257</v>
      </c>
      <c r="G30" s="175">
        <v>1</v>
      </c>
      <c r="H30" s="175"/>
      <c r="I30" s="175"/>
      <c r="J30" s="175"/>
      <c r="K30" s="175"/>
      <c r="L30" s="661"/>
      <c r="M30" s="663"/>
      <c r="N30" s="176">
        <f t="shared" ref="N30:N49" si="2">IF($F30="신규",(($G30+$H30+$I30)*4+($J30*5.2)+($K30*3.9)),IF($F30="소변경",(($G30+$H30+$I30)*4+($J30*5.2)+($K30*3.9))*$D$4,IF($F30="중변경",(($G30+$H30+$I30)*4+($J30*5.2)+($K30*3.9))*$D$5,(($G30+$H30+$I30)*$D$8+($J30*5.2)+($K30*3.9))*$D$6)))</f>
        <v>4</v>
      </c>
      <c r="O30" s="180" t="s">
        <v>284</v>
      </c>
    </row>
    <row r="31" spans="2:15" s="170" customFormat="1" ht="17.25" customHeight="1" x14ac:dyDescent="0.4">
      <c r="B31" s="178"/>
      <c r="C31" s="169" t="s">
        <v>257</v>
      </c>
      <c r="D31" s="174" t="s">
        <v>583</v>
      </c>
      <c r="E31" s="179" t="s">
        <v>622</v>
      </c>
      <c r="F31" s="175" t="s">
        <v>257</v>
      </c>
      <c r="G31" s="175">
        <v>1</v>
      </c>
      <c r="H31" s="175"/>
      <c r="I31" s="175"/>
      <c r="J31" s="175"/>
      <c r="K31" s="175"/>
      <c r="L31" s="661"/>
      <c r="M31" s="663"/>
      <c r="N31" s="176">
        <f t="shared" si="2"/>
        <v>4</v>
      </c>
      <c r="O31" s="180" t="s">
        <v>284</v>
      </c>
    </row>
    <row r="32" spans="2:15" s="170" customFormat="1" ht="17.25" customHeight="1" x14ac:dyDescent="0.4">
      <c r="B32" s="178"/>
      <c r="C32" s="169" t="s">
        <v>257</v>
      </c>
      <c r="D32" s="174" t="s">
        <v>584</v>
      </c>
      <c r="E32" s="179" t="s">
        <v>623</v>
      </c>
      <c r="F32" s="175" t="s">
        <v>257</v>
      </c>
      <c r="G32" s="175"/>
      <c r="H32" s="175"/>
      <c r="I32" s="175"/>
      <c r="J32" s="175"/>
      <c r="K32" s="175">
        <v>1</v>
      </c>
      <c r="L32" s="661"/>
      <c r="M32" s="663"/>
      <c r="N32" s="176">
        <f t="shared" si="2"/>
        <v>3.9</v>
      </c>
      <c r="O32" s="180" t="s">
        <v>284</v>
      </c>
    </row>
    <row r="33" spans="2:15" s="170" customFormat="1" ht="17.25" customHeight="1" x14ac:dyDescent="0.4">
      <c r="B33" s="178" t="s">
        <v>585</v>
      </c>
      <c r="C33" s="169" t="s">
        <v>257</v>
      </c>
      <c r="D33" s="174" t="s">
        <v>586</v>
      </c>
      <c r="E33" s="179" t="s">
        <v>624</v>
      </c>
      <c r="F33" s="175" t="s">
        <v>257</v>
      </c>
      <c r="G33" s="175"/>
      <c r="H33" s="175"/>
      <c r="I33" s="175"/>
      <c r="J33" s="175"/>
      <c r="K33" s="175">
        <v>1</v>
      </c>
      <c r="L33" s="661"/>
      <c r="M33" s="663"/>
      <c r="N33" s="176">
        <f t="shared" si="2"/>
        <v>3.9</v>
      </c>
      <c r="O33" s="180" t="s">
        <v>284</v>
      </c>
    </row>
    <row r="34" spans="2:15" s="170" customFormat="1" ht="17.25" customHeight="1" x14ac:dyDescent="0.4">
      <c r="B34" s="178"/>
      <c r="C34" s="169" t="s">
        <v>257</v>
      </c>
      <c r="D34" s="174" t="s">
        <v>587</v>
      </c>
      <c r="E34" s="179" t="s">
        <v>625</v>
      </c>
      <c r="F34" s="175" t="s">
        <v>257</v>
      </c>
      <c r="G34" s="175">
        <v>1</v>
      </c>
      <c r="H34" s="175"/>
      <c r="I34" s="175"/>
      <c r="J34" s="175"/>
      <c r="K34" s="175"/>
      <c r="L34" s="661"/>
      <c r="M34" s="663"/>
      <c r="N34" s="176">
        <f t="shared" si="2"/>
        <v>4</v>
      </c>
      <c r="O34" s="180" t="s">
        <v>284</v>
      </c>
    </row>
    <row r="35" spans="2:15" s="170" customFormat="1" ht="17.25" customHeight="1" x14ac:dyDescent="0.4">
      <c r="B35" s="178"/>
      <c r="C35" s="169" t="s">
        <v>257</v>
      </c>
      <c r="D35" s="174" t="s">
        <v>588</v>
      </c>
      <c r="E35" s="179" t="s">
        <v>626</v>
      </c>
      <c r="F35" s="175" t="s">
        <v>257</v>
      </c>
      <c r="G35" s="175"/>
      <c r="H35" s="175">
        <v>1</v>
      </c>
      <c r="I35" s="175"/>
      <c r="J35" s="175"/>
      <c r="K35" s="175"/>
      <c r="L35" s="661"/>
      <c r="M35" s="663"/>
      <c r="N35" s="176">
        <f t="shared" si="2"/>
        <v>4</v>
      </c>
      <c r="O35" s="180" t="s">
        <v>284</v>
      </c>
    </row>
    <row r="36" spans="2:15" s="170" customFormat="1" ht="17.25" customHeight="1" x14ac:dyDescent="0.4">
      <c r="B36" s="178"/>
      <c r="C36" s="169" t="s">
        <v>257</v>
      </c>
      <c r="D36" s="174" t="s">
        <v>589</v>
      </c>
      <c r="E36" s="179" t="s">
        <v>627</v>
      </c>
      <c r="F36" s="175" t="s">
        <v>257</v>
      </c>
      <c r="G36" s="175"/>
      <c r="H36" s="175"/>
      <c r="I36" s="175">
        <v>1</v>
      </c>
      <c r="J36" s="175"/>
      <c r="K36" s="175"/>
      <c r="L36" s="661"/>
      <c r="M36" s="663"/>
      <c r="N36" s="176">
        <f t="shared" si="2"/>
        <v>4</v>
      </c>
      <c r="O36" s="180" t="s">
        <v>284</v>
      </c>
    </row>
    <row r="37" spans="2:15" s="170" customFormat="1" ht="17.25" customHeight="1" x14ac:dyDescent="0.4">
      <c r="B37" s="178" t="s">
        <v>590</v>
      </c>
      <c r="C37" s="169" t="s">
        <v>257</v>
      </c>
      <c r="D37" s="174" t="s">
        <v>591</v>
      </c>
      <c r="E37" s="179" t="s">
        <v>628</v>
      </c>
      <c r="F37" s="175" t="s">
        <v>257</v>
      </c>
      <c r="G37" s="175"/>
      <c r="H37" s="175"/>
      <c r="I37" s="175"/>
      <c r="J37" s="175"/>
      <c r="K37" s="175">
        <v>1</v>
      </c>
      <c r="L37" s="661"/>
      <c r="M37" s="663"/>
      <c r="N37" s="176">
        <f t="shared" si="2"/>
        <v>3.9</v>
      </c>
      <c r="O37" s="180" t="s">
        <v>284</v>
      </c>
    </row>
    <row r="38" spans="2:15" s="170" customFormat="1" ht="17.25" customHeight="1" x14ac:dyDescent="0.4">
      <c r="B38" s="178"/>
      <c r="C38" s="169" t="s">
        <v>257</v>
      </c>
      <c r="D38" s="174" t="s">
        <v>592</v>
      </c>
      <c r="E38" s="179" t="s">
        <v>629</v>
      </c>
      <c r="F38" s="175" t="s">
        <v>257</v>
      </c>
      <c r="G38" s="175"/>
      <c r="H38" s="175"/>
      <c r="I38" s="175"/>
      <c r="J38" s="175"/>
      <c r="K38" s="175">
        <v>1</v>
      </c>
      <c r="L38" s="661"/>
      <c r="M38" s="663"/>
      <c r="N38" s="176">
        <f t="shared" si="2"/>
        <v>3.9</v>
      </c>
      <c r="O38" s="180" t="s">
        <v>284</v>
      </c>
    </row>
    <row r="39" spans="2:15" s="170" customFormat="1" ht="17.25" customHeight="1" x14ac:dyDescent="0.4">
      <c r="B39" s="178"/>
      <c r="C39" s="169" t="s">
        <v>257</v>
      </c>
      <c r="D39" s="174" t="s">
        <v>593</v>
      </c>
      <c r="E39" s="460" t="s">
        <v>630</v>
      </c>
      <c r="F39" s="175" t="s">
        <v>257</v>
      </c>
      <c r="G39" s="175">
        <v>1</v>
      </c>
      <c r="H39" s="175"/>
      <c r="I39" s="175"/>
      <c r="J39" s="175"/>
      <c r="K39" s="175"/>
      <c r="L39" s="661"/>
      <c r="M39" s="663"/>
      <c r="N39" s="176">
        <f t="shared" si="2"/>
        <v>4</v>
      </c>
      <c r="O39" s="180" t="s">
        <v>284</v>
      </c>
    </row>
    <row r="40" spans="2:15" s="170" customFormat="1" ht="17.25" customHeight="1" x14ac:dyDescent="0.4">
      <c r="B40" s="178"/>
      <c r="C40" s="169" t="s">
        <v>257</v>
      </c>
      <c r="D40" s="174" t="s">
        <v>594</v>
      </c>
      <c r="E40" s="179" t="s">
        <v>631</v>
      </c>
      <c r="F40" s="175" t="s">
        <v>257</v>
      </c>
      <c r="G40" s="175"/>
      <c r="H40" s="175"/>
      <c r="I40" s="175"/>
      <c r="J40" s="175">
        <v>1</v>
      </c>
      <c r="K40" s="175"/>
      <c r="L40" s="661"/>
      <c r="M40" s="663"/>
      <c r="N40" s="176">
        <f t="shared" si="2"/>
        <v>5.2</v>
      </c>
      <c r="O40" s="180" t="s">
        <v>284</v>
      </c>
    </row>
    <row r="41" spans="2:15" s="170" customFormat="1" ht="17.25" customHeight="1" x14ac:dyDescent="0.4">
      <c r="B41" s="178"/>
      <c r="C41" s="169" t="s">
        <v>257</v>
      </c>
      <c r="D41" s="174" t="s">
        <v>595</v>
      </c>
      <c r="E41" s="179" t="s">
        <v>632</v>
      </c>
      <c r="F41" s="175" t="s">
        <v>257</v>
      </c>
      <c r="G41" s="175"/>
      <c r="H41" s="175">
        <v>1</v>
      </c>
      <c r="I41" s="175"/>
      <c r="J41" s="175"/>
      <c r="K41" s="175"/>
      <c r="L41" s="661"/>
      <c r="M41" s="663"/>
      <c r="N41" s="176">
        <f t="shared" si="2"/>
        <v>4</v>
      </c>
      <c r="O41" s="180" t="s">
        <v>284</v>
      </c>
    </row>
    <row r="42" spans="2:15" s="170" customFormat="1" ht="17.25" customHeight="1" x14ac:dyDescent="0.4">
      <c r="B42" s="178" t="s">
        <v>596</v>
      </c>
      <c r="C42" s="169" t="s">
        <v>257</v>
      </c>
      <c r="D42" s="174" t="s">
        <v>597</v>
      </c>
      <c r="E42" s="179" t="s">
        <v>633</v>
      </c>
      <c r="F42" s="175" t="s">
        <v>257</v>
      </c>
      <c r="G42" s="175"/>
      <c r="H42" s="175"/>
      <c r="I42" s="175"/>
      <c r="J42" s="175"/>
      <c r="K42" s="175">
        <v>1</v>
      </c>
      <c r="L42" s="661"/>
      <c r="M42" s="663"/>
      <c r="N42" s="176">
        <f t="shared" si="2"/>
        <v>3.9</v>
      </c>
      <c r="O42" s="180" t="s">
        <v>284</v>
      </c>
    </row>
    <row r="43" spans="2:15" s="170" customFormat="1" ht="17.25" customHeight="1" x14ac:dyDescent="0.4">
      <c r="B43" s="178"/>
      <c r="C43" s="169" t="s">
        <v>257</v>
      </c>
      <c r="D43" s="174" t="s">
        <v>598</v>
      </c>
      <c r="E43" s="460" t="s">
        <v>634</v>
      </c>
      <c r="F43" s="175" t="s">
        <v>257</v>
      </c>
      <c r="G43" s="175"/>
      <c r="H43" s="175"/>
      <c r="I43" s="175"/>
      <c r="J43" s="175"/>
      <c r="K43" s="175">
        <v>1</v>
      </c>
      <c r="L43" s="661"/>
      <c r="M43" s="663"/>
      <c r="N43" s="176">
        <f t="shared" si="2"/>
        <v>3.9</v>
      </c>
      <c r="O43" s="180" t="s">
        <v>284</v>
      </c>
    </row>
    <row r="44" spans="2:15" s="170" customFormat="1" ht="17.25" customHeight="1" x14ac:dyDescent="0.4">
      <c r="B44" s="178"/>
      <c r="C44" s="169" t="s">
        <v>257</v>
      </c>
      <c r="D44" s="174" t="s">
        <v>599</v>
      </c>
      <c r="E44" s="179" t="s">
        <v>635</v>
      </c>
      <c r="F44" s="175" t="s">
        <v>257</v>
      </c>
      <c r="G44" s="175"/>
      <c r="H44" s="175"/>
      <c r="I44" s="175"/>
      <c r="J44" s="175">
        <v>1</v>
      </c>
      <c r="K44" s="175"/>
      <c r="L44" s="661"/>
      <c r="M44" s="663"/>
      <c r="N44" s="176">
        <f t="shared" si="2"/>
        <v>5.2</v>
      </c>
      <c r="O44" s="180" t="s">
        <v>284</v>
      </c>
    </row>
    <row r="45" spans="2:15" s="170" customFormat="1" ht="17.25" customHeight="1" x14ac:dyDescent="0.4">
      <c r="B45" s="178"/>
      <c r="C45" s="169" t="s">
        <v>257</v>
      </c>
      <c r="D45" s="174" t="s">
        <v>600</v>
      </c>
      <c r="E45" s="179" t="s">
        <v>636</v>
      </c>
      <c r="F45" s="175" t="s">
        <v>257</v>
      </c>
      <c r="G45" s="175"/>
      <c r="H45" s="175"/>
      <c r="I45" s="175"/>
      <c r="J45" s="175">
        <v>1</v>
      </c>
      <c r="K45" s="175"/>
      <c r="L45" s="661"/>
      <c r="M45" s="663"/>
      <c r="N45" s="176">
        <f t="shared" si="2"/>
        <v>5.2</v>
      </c>
      <c r="O45" s="180" t="s">
        <v>284</v>
      </c>
    </row>
    <row r="46" spans="2:15" s="170" customFormat="1" ht="17.25" customHeight="1" x14ac:dyDescent="0.4">
      <c r="B46" s="178"/>
      <c r="C46" s="169" t="s">
        <v>257</v>
      </c>
      <c r="D46" s="174" t="s">
        <v>601</v>
      </c>
      <c r="E46" s="179" t="s">
        <v>637</v>
      </c>
      <c r="F46" s="175" t="s">
        <v>257</v>
      </c>
      <c r="G46" s="175"/>
      <c r="H46" s="175"/>
      <c r="I46" s="175"/>
      <c r="J46" s="175">
        <v>1</v>
      </c>
      <c r="K46" s="175"/>
      <c r="L46" s="661"/>
      <c r="M46" s="663"/>
      <c r="N46" s="176">
        <f t="shared" si="2"/>
        <v>5.2</v>
      </c>
      <c r="O46" s="180" t="s">
        <v>284</v>
      </c>
    </row>
    <row r="47" spans="2:15" s="170" customFormat="1" ht="17.25" customHeight="1" x14ac:dyDescent="0.4">
      <c r="B47" s="178" t="s">
        <v>602</v>
      </c>
      <c r="C47" s="169" t="s">
        <v>257</v>
      </c>
      <c r="D47" s="174" t="s">
        <v>603</v>
      </c>
      <c r="E47" s="179" t="s">
        <v>638</v>
      </c>
      <c r="F47" s="175" t="s">
        <v>257</v>
      </c>
      <c r="G47" s="175">
        <v>1</v>
      </c>
      <c r="H47" s="175"/>
      <c r="I47" s="175"/>
      <c r="J47" s="175"/>
      <c r="K47" s="175"/>
      <c r="L47" s="661"/>
      <c r="M47" s="663"/>
      <c r="N47" s="176">
        <f t="shared" si="2"/>
        <v>4</v>
      </c>
      <c r="O47" s="180" t="s">
        <v>284</v>
      </c>
    </row>
    <row r="48" spans="2:15" s="170" customFormat="1" ht="17.25" customHeight="1" x14ac:dyDescent="0.4">
      <c r="B48" s="178"/>
      <c r="C48" s="169" t="s">
        <v>257</v>
      </c>
      <c r="D48" s="174" t="s">
        <v>604</v>
      </c>
      <c r="E48" s="179" t="s">
        <v>639</v>
      </c>
      <c r="F48" s="175" t="s">
        <v>257</v>
      </c>
      <c r="G48" s="175">
        <v>1</v>
      </c>
      <c r="H48" s="175"/>
      <c r="I48" s="175"/>
      <c r="J48" s="175"/>
      <c r="K48" s="175"/>
      <c r="L48" s="661"/>
      <c r="M48" s="663"/>
      <c r="N48" s="176">
        <f t="shared" si="2"/>
        <v>4</v>
      </c>
      <c r="O48" s="180" t="s">
        <v>284</v>
      </c>
    </row>
    <row r="49" spans="2:15" s="170" customFormat="1" ht="17.25" customHeight="1" x14ac:dyDescent="0.4">
      <c r="B49" s="178"/>
      <c r="C49" s="169" t="s">
        <v>257</v>
      </c>
      <c r="D49" s="174" t="s">
        <v>605</v>
      </c>
      <c r="E49" s="174" t="s">
        <v>640</v>
      </c>
      <c r="F49" s="175" t="s">
        <v>257</v>
      </c>
      <c r="G49" s="175"/>
      <c r="H49" s="175"/>
      <c r="I49" s="175"/>
      <c r="J49" s="175"/>
      <c r="K49" s="175">
        <v>1</v>
      </c>
      <c r="L49" s="661"/>
      <c r="M49" s="663"/>
      <c r="N49" s="176">
        <f t="shared" si="2"/>
        <v>3.9</v>
      </c>
      <c r="O49" s="180" t="s">
        <v>284</v>
      </c>
    </row>
    <row r="50" spans="2:15" s="170" customFormat="1" ht="17.25" customHeight="1" x14ac:dyDescent="0.4">
      <c r="B50" s="178"/>
      <c r="C50" s="169" t="s">
        <v>257</v>
      </c>
      <c r="D50" s="174" t="s">
        <v>606</v>
      </c>
      <c r="E50" s="174" t="s">
        <v>641</v>
      </c>
      <c r="F50" s="175" t="s">
        <v>257</v>
      </c>
      <c r="G50" s="175"/>
      <c r="H50" s="175"/>
      <c r="I50" s="175"/>
      <c r="J50" s="175"/>
      <c r="K50" s="175">
        <v>1</v>
      </c>
      <c r="L50" s="661"/>
      <c r="M50" s="663"/>
      <c r="N50" s="176">
        <f t="shared" ref="N50:N59" si="3">IF($F50="신규",(($G50+$H50+$I50)*4+($J50*5.2)+($K50*3.9)),IF($F50="소변경",(($G50+$H50+$I50)*4+($J50*5.2)+($K50*3.9))*$D$4,IF($F50="중변경",(($G50+$H50+$I50)*4+($J50*5.2)+($K50*3.9))*$D$5,(($G50+$H50+$I50)*$D$8+($J50*5.2)+($K50*3.9))*$D$6)))</f>
        <v>3.9</v>
      </c>
      <c r="O50" s="180" t="s">
        <v>284</v>
      </c>
    </row>
    <row r="51" spans="2:15" s="170" customFormat="1" ht="17.25" customHeight="1" x14ac:dyDescent="0.4">
      <c r="B51" s="178" t="s">
        <v>607</v>
      </c>
      <c r="C51" s="169" t="s">
        <v>257</v>
      </c>
      <c r="D51" s="174" t="s">
        <v>608</v>
      </c>
      <c r="E51" s="174" t="s">
        <v>642</v>
      </c>
      <c r="F51" s="175" t="s">
        <v>257</v>
      </c>
      <c r="G51" s="175"/>
      <c r="H51" s="175"/>
      <c r="I51" s="175"/>
      <c r="J51" s="175">
        <v>1</v>
      </c>
      <c r="K51" s="175"/>
      <c r="L51" s="661"/>
      <c r="M51" s="663"/>
      <c r="N51" s="176">
        <f t="shared" si="3"/>
        <v>5.2</v>
      </c>
      <c r="O51" s="180" t="s">
        <v>284</v>
      </c>
    </row>
    <row r="52" spans="2:15" s="170" customFormat="1" ht="17.25" customHeight="1" x14ac:dyDescent="0.4">
      <c r="B52" s="178" t="s">
        <v>607</v>
      </c>
      <c r="C52" s="169" t="s">
        <v>257</v>
      </c>
      <c r="D52" s="174" t="s">
        <v>609</v>
      </c>
      <c r="E52" s="460" t="s">
        <v>643</v>
      </c>
      <c r="F52" s="175" t="s">
        <v>257</v>
      </c>
      <c r="G52" s="175"/>
      <c r="H52" s="175"/>
      <c r="I52" s="175"/>
      <c r="J52" s="175">
        <v>1</v>
      </c>
      <c r="K52" s="175"/>
      <c r="L52" s="661"/>
      <c r="M52" s="663"/>
      <c r="N52" s="176">
        <f t="shared" si="3"/>
        <v>5.2</v>
      </c>
      <c r="O52" s="180" t="s">
        <v>284</v>
      </c>
    </row>
    <row r="53" spans="2:15" s="170" customFormat="1" ht="17.25" customHeight="1" x14ac:dyDescent="0.4">
      <c r="B53" s="178"/>
      <c r="C53" s="169"/>
      <c r="D53" s="174"/>
      <c r="E53" s="174"/>
      <c r="F53" s="175"/>
      <c r="G53" s="175"/>
      <c r="H53" s="175"/>
      <c r="I53" s="175"/>
      <c r="J53" s="175"/>
      <c r="K53" s="175"/>
      <c r="L53" s="661"/>
      <c r="M53" s="663"/>
      <c r="N53" s="176">
        <f t="shared" si="3"/>
        <v>0</v>
      </c>
      <c r="O53" s="180"/>
    </row>
    <row r="54" spans="2:15" s="170" customFormat="1" ht="13.2" x14ac:dyDescent="0.4">
      <c r="B54" s="178"/>
      <c r="C54" s="169"/>
      <c r="D54" s="174"/>
      <c r="E54" s="174"/>
      <c r="F54" s="175"/>
      <c r="G54" s="175"/>
      <c r="H54" s="175"/>
      <c r="I54" s="175"/>
      <c r="J54" s="175"/>
      <c r="K54" s="175"/>
      <c r="L54" s="661"/>
      <c r="M54" s="663"/>
      <c r="N54" s="176">
        <f t="shared" si="3"/>
        <v>0</v>
      </c>
      <c r="O54" s="180"/>
    </row>
    <row r="55" spans="2:15" s="170" customFormat="1" ht="13.2" x14ac:dyDescent="0.4">
      <c r="B55" s="178"/>
      <c r="C55" s="169"/>
      <c r="D55" s="174"/>
      <c r="E55" s="174"/>
      <c r="F55" s="175"/>
      <c r="G55" s="175"/>
      <c r="H55" s="175"/>
      <c r="I55" s="175"/>
      <c r="J55" s="175"/>
      <c r="K55" s="175"/>
      <c r="L55" s="661"/>
      <c r="M55" s="663"/>
      <c r="N55" s="176">
        <f t="shared" si="3"/>
        <v>0</v>
      </c>
      <c r="O55" s="180"/>
    </row>
    <row r="56" spans="2:15" s="170" customFormat="1" ht="13.2" x14ac:dyDescent="0.4">
      <c r="B56" s="178"/>
      <c r="C56" s="169"/>
      <c r="D56" s="174"/>
      <c r="E56" s="174"/>
      <c r="F56" s="175"/>
      <c r="G56" s="175"/>
      <c r="H56" s="175"/>
      <c r="I56" s="175"/>
      <c r="J56" s="175"/>
      <c r="K56" s="175"/>
      <c r="L56" s="661"/>
      <c r="M56" s="663"/>
      <c r="N56" s="176">
        <f t="shared" si="3"/>
        <v>0</v>
      </c>
      <c r="O56" s="180"/>
    </row>
    <row r="57" spans="2:15" s="170" customFormat="1" ht="13.2" x14ac:dyDescent="0.4">
      <c r="B57" s="178"/>
      <c r="C57" s="169"/>
      <c r="D57" s="174"/>
      <c r="E57" s="174"/>
      <c r="F57" s="175"/>
      <c r="G57" s="175"/>
      <c r="H57" s="175"/>
      <c r="I57" s="175"/>
      <c r="J57" s="175"/>
      <c r="K57" s="175"/>
      <c r="L57" s="661"/>
      <c r="M57" s="663"/>
      <c r="N57" s="176">
        <f t="shared" si="3"/>
        <v>0</v>
      </c>
      <c r="O57" s="180"/>
    </row>
    <row r="58" spans="2:15" s="170" customFormat="1" ht="13.2" x14ac:dyDescent="0.4">
      <c r="B58" s="178"/>
      <c r="C58" s="169"/>
      <c r="D58" s="178"/>
      <c r="E58" s="174"/>
      <c r="F58" s="175"/>
      <c r="G58" s="175"/>
      <c r="H58" s="175"/>
      <c r="I58" s="175"/>
      <c r="J58" s="175"/>
      <c r="K58" s="175"/>
      <c r="L58" s="661"/>
      <c r="M58" s="663"/>
      <c r="N58" s="176">
        <f t="shared" si="3"/>
        <v>0</v>
      </c>
      <c r="O58" s="180"/>
    </row>
    <row r="59" spans="2:15" s="170" customFormat="1" ht="13.2" x14ac:dyDescent="0.4">
      <c r="B59" s="178"/>
      <c r="C59" s="169"/>
      <c r="D59" s="178"/>
      <c r="E59" s="174"/>
      <c r="F59" s="175"/>
      <c r="G59" s="175"/>
      <c r="H59" s="175"/>
      <c r="I59" s="175"/>
      <c r="J59" s="175"/>
      <c r="K59" s="175"/>
      <c r="L59" s="661"/>
      <c r="M59" s="663"/>
      <c r="N59" s="176">
        <f t="shared" si="3"/>
        <v>0</v>
      </c>
      <c r="O59" s="180"/>
    </row>
    <row r="60" spans="2:15" s="162" customFormat="1" ht="25.5" customHeight="1" x14ac:dyDescent="0.4">
      <c r="B60" s="651" t="s">
        <v>286</v>
      </c>
      <c r="C60" s="652"/>
      <c r="D60" s="652"/>
      <c r="E60" s="653"/>
      <c r="F60" s="144" t="s">
        <v>59</v>
      </c>
      <c r="G60" s="654" t="s">
        <v>287</v>
      </c>
      <c r="H60" s="654"/>
      <c r="I60" s="654"/>
      <c r="J60" s="654"/>
      <c r="K60" s="654"/>
      <c r="L60" s="171" t="s">
        <v>288</v>
      </c>
      <c r="M60" s="171" t="s">
        <v>289</v>
      </c>
      <c r="N60" s="171" t="s">
        <v>290</v>
      </c>
      <c r="O60" s="171" t="s">
        <v>247</v>
      </c>
    </row>
    <row r="61" spans="2:15" s="170" customFormat="1" ht="12" hidden="1" customHeight="1" x14ac:dyDescent="0.4">
      <c r="B61" s="173"/>
      <c r="C61" s="175" t="s">
        <v>257</v>
      </c>
      <c r="D61" s="174"/>
      <c r="E61" s="174"/>
      <c r="F61" s="175" t="s">
        <v>257</v>
      </c>
      <c r="G61" s="655"/>
      <c r="H61" s="656"/>
      <c r="I61" s="656"/>
      <c r="J61" s="656"/>
      <c r="K61" s="657"/>
      <c r="L61" s="175"/>
      <c r="M61" s="175"/>
      <c r="N61" s="176">
        <f t="shared" ref="N61" si="4">IF($F61="신규",(($G61+$H61+$I61)*4+($J61*5.2)+($K61*3.9)),IF($F61="소변경",(($G61+$H61+$I61)*4+($J61*5.2)+($K61*3.9))*$D$4,IF($F61="중변경",(($G61+$H61+$I61)*4+($J61*5.2)+($K61*3.9))*$D$5,(($G61+$H61+$I61)*$D$5+($J61*5.2)+($K61*3.9))*$D$6)))</f>
        <v>0</v>
      </c>
      <c r="O61" s="177" t="s">
        <v>282</v>
      </c>
    </row>
    <row r="62" spans="2:15" s="170" customFormat="1" ht="12" customHeight="1" x14ac:dyDescent="0.4">
      <c r="B62" s="168"/>
      <c r="C62" s="169"/>
      <c r="D62" s="168"/>
      <c r="G62" s="658" t="s">
        <v>291</v>
      </c>
      <c r="H62" s="659"/>
      <c r="I62" s="659"/>
      <c r="J62" s="659"/>
      <c r="K62" s="660"/>
      <c r="L62" s="175"/>
      <c r="M62" s="175"/>
      <c r="N62" s="176">
        <f>IF($F62="신규",($L62*7.5)+($M62*5.4),IF($F62="소변경",(($L62*7.5)+($M62*5.4))*$D$4,IF($F62="중변경",(($L62*7.5)+($M62*5.4))*$D$5,(($L62*7.5)+($M62*5.4))*$D$6)))</f>
        <v>0</v>
      </c>
      <c r="O62" s="180" t="s">
        <v>284</v>
      </c>
    </row>
    <row r="63" spans="2:15" s="170" customFormat="1" ht="12" customHeight="1" x14ac:dyDescent="0.4">
      <c r="B63" s="173" t="s">
        <v>580</v>
      </c>
      <c r="C63" s="175" t="s">
        <v>257</v>
      </c>
      <c r="D63" s="181" t="s">
        <v>610</v>
      </c>
      <c r="E63" s="882" t="s">
        <v>644</v>
      </c>
      <c r="F63" s="175" t="s">
        <v>257</v>
      </c>
      <c r="G63" s="661"/>
      <c r="H63" s="662"/>
      <c r="I63" s="662"/>
      <c r="J63" s="662"/>
      <c r="K63" s="663"/>
      <c r="L63" s="175">
        <v>1</v>
      </c>
      <c r="M63" s="175"/>
      <c r="N63" s="176">
        <f t="shared" ref="N63:N94" si="5">IF($F63="신규",($L63*7.5)+($M63*5.4),IF($F63="소변경",(($L63*7.5)+($M63*5.4))*$D$4,IF($F63="중변경",(($L63*7.5)+($M63*5.4))*$D$5,(($L63*7.5)+($M63*5.4))*$D$6)))</f>
        <v>7.5</v>
      </c>
      <c r="O63" s="180" t="s">
        <v>284</v>
      </c>
    </row>
    <row r="64" spans="2:15" s="170" customFormat="1" ht="12" customHeight="1" x14ac:dyDescent="0.4">
      <c r="B64" s="173" t="s">
        <v>585</v>
      </c>
      <c r="C64" s="175" t="s">
        <v>257</v>
      </c>
      <c r="D64" s="181" t="s">
        <v>611</v>
      </c>
      <c r="E64" s="882" t="s">
        <v>645</v>
      </c>
      <c r="F64" s="175" t="s">
        <v>257</v>
      </c>
      <c r="G64" s="661"/>
      <c r="H64" s="662"/>
      <c r="I64" s="662"/>
      <c r="J64" s="662"/>
      <c r="K64" s="663"/>
      <c r="L64" s="175">
        <v>1</v>
      </c>
      <c r="M64" s="175"/>
      <c r="N64" s="176">
        <f t="shared" si="5"/>
        <v>7.5</v>
      </c>
      <c r="O64" s="180" t="s">
        <v>284</v>
      </c>
    </row>
    <row r="65" spans="2:15" s="170" customFormat="1" ht="12" customHeight="1" x14ac:dyDescent="0.4">
      <c r="B65" s="173" t="s">
        <v>590</v>
      </c>
      <c r="C65" s="175" t="s">
        <v>257</v>
      </c>
      <c r="D65" s="181" t="s">
        <v>612</v>
      </c>
      <c r="E65" s="882" t="s">
        <v>646</v>
      </c>
      <c r="F65" s="175" t="s">
        <v>257</v>
      </c>
      <c r="G65" s="661"/>
      <c r="H65" s="662"/>
      <c r="I65" s="662"/>
      <c r="J65" s="662"/>
      <c r="K65" s="663"/>
      <c r="L65" s="175">
        <v>1</v>
      </c>
      <c r="M65" s="175"/>
      <c r="N65" s="176">
        <f t="shared" si="5"/>
        <v>7.5</v>
      </c>
      <c r="O65" s="180" t="s">
        <v>284</v>
      </c>
    </row>
    <row r="66" spans="2:15" s="170" customFormat="1" ht="12" customHeight="1" x14ac:dyDescent="0.4">
      <c r="B66" s="173"/>
      <c r="C66" s="175" t="s">
        <v>257</v>
      </c>
      <c r="D66" s="181" t="s">
        <v>613</v>
      </c>
      <c r="E66" s="883" t="s">
        <v>647</v>
      </c>
      <c r="F66" s="175" t="s">
        <v>257</v>
      </c>
      <c r="G66" s="661"/>
      <c r="H66" s="662"/>
      <c r="I66" s="662"/>
      <c r="J66" s="662"/>
      <c r="K66" s="663"/>
      <c r="L66" s="175">
        <v>1</v>
      </c>
      <c r="M66" s="175"/>
      <c r="N66" s="176">
        <f t="shared" si="5"/>
        <v>7.5</v>
      </c>
      <c r="O66" s="180" t="s">
        <v>284</v>
      </c>
    </row>
    <row r="67" spans="2:15" s="170" customFormat="1" ht="12" customHeight="1" x14ac:dyDescent="0.4">
      <c r="B67" s="173" t="s">
        <v>602</v>
      </c>
      <c r="C67" s="175" t="s">
        <v>257</v>
      </c>
      <c r="D67" s="181" t="s">
        <v>614</v>
      </c>
      <c r="E67" s="882" t="s">
        <v>648</v>
      </c>
      <c r="F67" s="175" t="s">
        <v>257</v>
      </c>
      <c r="G67" s="661"/>
      <c r="H67" s="662"/>
      <c r="I67" s="662"/>
      <c r="J67" s="662"/>
      <c r="K67" s="663"/>
      <c r="L67" s="175">
        <v>1</v>
      </c>
      <c r="M67" s="175"/>
      <c r="N67" s="176">
        <f t="shared" si="5"/>
        <v>7.5</v>
      </c>
      <c r="O67" s="180" t="s">
        <v>284</v>
      </c>
    </row>
    <row r="68" spans="2:15" s="170" customFormat="1" ht="12" customHeight="1" x14ac:dyDescent="0.4">
      <c r="B68" s="173" t="s">
        <v>616</v>
      </c>
      <c r="C68" s="175" t="s">
        <v>257</v>
      </c>
      <c r="D68" s="182" t="s">
        <v>615</v>
      </c>
      <c r="E68" s="882" t="s">
        <v>649</v>
      </c>
      <c r="F68" s="175" t="s">
        <v>257</v>
      </c>
      <c r="G68" s="661"/>
      <c r="H68" s="662"/>
      <c r="I68" s="662"/>
      <c r="J68" s="662"/>
      <c r="K68" s="663"/>
      <c r="L68" s="175">
        <v>1</v>
      </c>
      <c r="M68" s="175"/>
      <c r="N68" s="176">
        <f t="shared" si="5"/>
        <v>7.5</v>
      </c>
      <c r="O68" s="180" t="s">
        <v>284</v>
      </c>
    </row>
    <row r="69" spans="2:15" s="170" customFormat="1" ht="12" customHeight="1" x14ac:dyDescent="0.4">
      <c r="B69" s="173" t="s">
        <v>617</v>
      </c>
      <c r="C69" s="175" t="s">
        <v>257</v>
      </c>
      <c r="D69" s="181" t="s">
        <v>618</v>
      </c>
      <c r="E69" s="882" t="s">
        <v>650</v>
      </c>
      <c r="F69" s="175" t="s">
        <v>257</v>
      </c>
      <c r="G69" s="661"/>
      <c r="H69" s="662"/>
      <c r="I69" s="662"/>
      <c r="J69" s="662"/>
      <c r="K69" s="663"/>
      <c r="L69" s="175"/>
      <c r="M69" s="175">
        <v>1</v>
      </c>
      <c r="N69" s="176">
        <f t="shared" si="5"/>
        <v>5.4</v>
      </c>
      <c r="O69" s="180" t="s">
        <v>619</v>
      </c>
    </row>
    <row r="70" spans="2:15" s="170" customFormat="1" ht="12" customHeight="1" x14ac:dyDescent="0.4">
      <c r="B70" s="173"/>
      <c r="C70" s="175" t="s">
        <v>257</v>
      </c>
      <c r="D70" s="182"/>
      <c r="E70" s="173"/>
      <c r="F70" s="175" t="s">
        <v>257</v>
      </c>
      <c r="G70" s="661"/>
      <c r="H70" s="662"/>
      <c r="I70" s="662"/>
      <c r="J70" s="662"/>
      <c r="K70" s="663"/>
      <c r="L70" s="175"/>
      <c r="M70" s="175"/>
      <c r="N70" s="176">
        <f t="shared" si="5"/>
        <v>0</v>
      </c>
      <c r="O70" s="180" t="s">
        <v>284</v>
      </c>
    </row>
    <row r="71" spans="2:15" s="170" customFormat="1" ht="12" customHeight="1" x14ac:dyDescent="0.4">
      <c r="B71" s="173"/>
      <c r="C71" s="175" t="s">
        <v>257</v>
      </c>
      <c r="D71" s="182"/>
      <c r="E71" s="173"/>
      <c r="F71" s="175" t="s">
        <v>257</v>
      </c>
      <c r="G71" s="661"/>
      <c r="H71" s="662"/>
      <c r="I71" s="662"/>
      <c r="J71" s="662"/>
      <c r="K71" s="663"/>
      <c r="L71" s="175"/>
      <c r="M71" s="175"/>
      <c r="N71" s="176">
        <f t="shared" si="5"/>
        <v>0</v>
      </c>
      <c r="O71" s="180" t="s">
        <v>284</v>
      </c>
    </row>
    <row r="72" spans="2:15" s="170" customFormat="1" ht="12" customHeight="1" x14ac:dyDescent="0.4">
      <c r="B72" s="173"/>
      <c r="C72" s="175" t="s">
        <v>257</v>
      </c>
      <c r="D72" s="182"/>
      <c r="E72" s="173"/>
      <c r="F72" s="175" t="s">
        <v>257</v>
      </c>
      <c r="G72" s="661"/>
      <c r="H72" s="662"/>
      <c r="I72" s="662"/>
      <c r="J72" s="662"/>
      <c r="K72" s="663"/>
      <c r="L72" s="175"/>
      <c r="M72" s="175"/>
      <c r="N72" s="176">
        <f t="shared" si="5"/>
        <v>0</v>
      </c>
      <c r="O72" s="180" t="s">
        <v>284</v>
      </c>
    </row>
    <row r="73" spans="2:15" s="170" customFormat="1" ht="12" customHeight="1" x14ac:dyDescent="0.4">
      <c r="B73" s="173"/>
      <c r="C73" s="175" t="s">
        <v>257</v>
      </c>
      <c r="D73" s="182"/>
      <c r="E73" s="173"/>
      <c r="F73" s="175"/>
      <c r="G73" s="661"/>
      <c r="H73" s="662"/>
      <c r="I73" s="662"/>
      <c r="J73" s="662"/>
      <c r="K73" s="663"/>
      <c r="L73" s="175"/>
      <c r="M73" s="175"/>
      <c r="N73" s="176">
        <f t="shared" si="5"/>
        <v>0</v>
      </c>
      <c r="O73" s="180" t="s">
        <v>284</v>
      </c>
    </row>
    <row r="74" spans="2:15" s="170" customFormat="1" ht="12" customHeight="1" x14ac:dyDescent="0.4">
      <c r="B74" s="173"/>
      <c r="C74" s="175" t="s">
        <v>257</v>
      </c>
      <c r="D74" s="182"/>
      <c r="E74" s="173"/>
      <c r="F74" s="175"/>
      <c r="G74" s="661"/>
      <c r="H74" s="662"/>
      <c r="I74" s="662"/>
      <c r="J74" s="662"/>
      <c r="K74" s="663"/>
      <c r="L74" s="175"/>
      <c r="M74" s="175"/>
      <c r="N74" s="176">
        <f t="shared" si="5"/>
        <v>0</v>
      </c>
      <c r="O74" s="180" t="s">
        <v>284</v>
      </c>
    </row>
    <row r="75" spans="2:15" s="170" customFormat="1" ht="12" customHeight="1" x14ac:dyDescent="0.4">
      <c r="B75" s="173"/>
      <c r="C75" s="175" t="s">
        <v>257</v>
      </c>
      <c r="D75" s="182"/>
      <c r="E75" s="173"/>
      <c r="F75" s="175"/>
      <c r="G75" s="661"/>
      <c r="H75" s="662"/>
      <c r="I75" s="662"/>
      <c r="J75" s="662"/>
      <c r="K75" s="663"/>
      <c r="L75" s="175"/>
      <c r="M75" s="175"/>
      <c r="N75" s="176">
        <f t="shared" si="5"/>
        <v>0</v>
      </c>
      <c r="O75" s="180" t="s">
        <v>284</v>
      </c>
    </row>
    <row r="76" spans="2:15" s="170" customFormat="1" ht="12" customHeight="1" x14ac:dyDescent="0.4">
      <c r="B76" s="173"/>
      <c r="C76" s="175"/>
      <c r="D76" s="182"/>
      <c r="E76" s="173"/>
      <c r="F76" s="175"/>
      <c r="G76" s="661"/>
      <c r="H76" s="662"/>
      <c r="I76" s="662"/>
      <c r="J76" s="662"/>
      <c r="K76" s="663"/>
      <c r="L76" s="175"/>
      <c r="M76" s="175"/>
      <c r="N76" s="176">
        <f t="shared" si="5"/>
        <v>0</v>
      </c>
      <c r="O76" s="180" t="s">
        <v>284</v>
      </c>
    </row>
    <row r="77" spans="2:15" s="170" customFormat="1" ht="12" customHeight="1" x14ac:dyDescent="0.4">
      <c r="B77" s="173"/>
      <c r="C77" s="175"/>
      <c r="D77" s="182"/>
      <c r="E77" s="173"/>
      <c r="F77" s="175"/>
      <c r="G77" s="661"/>
      <c r="H77" s="662"/>
      <c r="I77" s="662"/>
      <c r="J77" s="662"/>
      <c r="K77" s="663"/>
      <c r="L77" s="175"/>
      <c r="M77" s="175"/>
      <c r="N77" s="176">
        <f t="shared" si="5"/>
        <v>0</v>
      </c>
      <c r="O77" s="180" t="s">
        <v>284</v>
      </c>
    </row>
    <row r="78" spans="2:15" s="170" customFormat="1" ht="12" customHeight="1" x14ac:dyDescent="0.4">
      <c r="B78" s="173"/>
      <c r="C78" s="175"/>
      <c r="D78" s="182"/>
      <c r="E78" s="173"/>
      <c r="F78" s="175"/>
      <c r="G78" s="661"/>
      <c r="H78" s="662"/>
      <c r="I78" s="662"/>
      <c r="J78" s="662"/>
      <c r="K78" s="663"/>
      <c r="L78" s="175"/>
      <c r="M78" s="175"/>
      <c r="N78" s="176">
        <f t="shared" si="5"/>
        <v>0</v>
      </c>
      <c r="O78" s="180" t="s">
        <v>284</v>
      </c>
    </row>
    <row r="79" spans="2:15" s="170" customFormat="1" ht="12" customHeight="1" x14ac:dyDescent="0.4">
      <c r="B79" s="173"/>
      <c r="C79" s="175"/>
      <c r="D79" s="182"/>
      <c r="E79" s="173"/>
      <c r="F79" s="175"/>
      <c r="G79" s="661"/>
      <c r="H79" s="662"/>
      <c r="I79" s="662"/>
      <c r="J79" s="662"/>
      <c r="K79" s="663"/>
      <c r="L79" s="175"/>
      <c r="M79" s="175"/>
      <c r="N79" s="176">
        <f t="shared" si="5"/>
        <v>0</v>
      </c>
      <c r="O79" s="180" t="s">
        <v>284</v>
      </c>
    </row>
    <row r="80" spans="2:15" s="170" customFormat="1" ht="12" customHeight="1" x14ac:dyDescent="0.4">
      <c r="B80" s="173"/>
      <c r="C80" s="175"/>
      <c r="D80" s="182"/>
      <c r="E80" s="173"/>
      <c r="F80" s="175"/>
      <c r="G80" s="661"/>
      <c r="H80" s="662"/>
      <c r="I80" s="662"/>
      <c r="J80" s="662"/>
      <c r="K80" s="663"/>
      <c r="L80" s="175"/>
      <c r="M80" s="175"/>
      <c r="N80" s="176">
        <f t="shared" si="5"/>
        <v>0</v>
      </c>
      <c r="O80" s="180" t="s">
        <v>284</v>
      </c>
    </row>
    <row r="81" spans="2:15" s="170" customFormat="1" ht="12" customHeight="1" x14ac:dyDescent="0.4">
      <c r="B81" s="173"/>
      <c r="C81" s="175"/>
      <c r="D81" s="182"/>
      <c r="E81" s="173"/>
      <c r="F81" s="175"/>
      <c r="G81" s="661"/>
      <c r="H81" s="662"/>
      <c r="I81" s="662"/>
      <c r="J81" s="662"/>
      <c r="K81" s="663"/>
      <c r="L81" s="175"/>
      <c r="M81" s="175"/>
      <c r="N81" s="176">
        <f>IF($F81="신규",($L81*7.5)+($M81*5.4),IF($F81="소변경",(($L81*7.5)+($M81*5.4))*$D$4,IF($F81="중변경",(($L81*7.5)+($M81*5.4))*$D$5,(($L81*7.5)+($M81*5.4))*$D$6)))</f>
        <v>0</v>
      </c>
      <c r="O81" s="180" t="s">
        <v>284</v>
      </c>
    </row>
    <row r="82" spans="2:15" s="170" customFormat="1" ht="12" customHeight="1" x14ac:dyDescent="0.4">
      <c r="B82" s="173"/>
      <c r="C82" s="169"/>
      <c r="D82" s="173"/>
      <c r="E82" s="173"/>
      <c r="F82" s="175"/>
      <c r="G82" s="661"/>
      <c r="H82" s="662"/>
      <c r="I82" s="662"/>
      <c r="J82" s="662"/>
      <c r="K82" s="663"/>
      <c r="L82" s="175"/>
      <c r="M82" s="175"/>
      <c r="N82" s="176">
        <f>IF($F82="신규",($L82*7.5)+($M82*5.4),IF($F82="소변경",(($L82*7.5)+($M82*5.4))*$D$4,IF($F82="중변경",(($L82*7.5)+($M82*5.4))*$D$5,(($L82*7.5)+($M82*5.4))*$D$6)))</f>
        <v>0</v>
      </c>
      <c r="O82" s="180" t="s">
        <v>284</v>
      </c>
    </row>
    <row r="83" spans="2:15" s="170" customFormat="1" ht="12" customHeight="1" x14ac:dyDescent="0.4">
      <c r="B83" s="173"/>
      <c r="C83" s="175"/>
      <c r="D83" s="182"/>
      <c r="E83" s="173"/>
      <c r="F83" s="175"/>
      <c r="G83" s="661"/>
      <c r="H83" s="662"/>
      <c r="I83" s="662"/>
      <c r="J83" s="662"/>
      <c r="K83" s="663"/>
      <c r="L83" s="175"/>
      <c r="M83" s="175"/>
      <c r="N83" s="176">
        <f t="shared" si="5"/>
        <v>0</v>
      </c>
      <c r="O83" s="180" t="s">
        <v>284</v>
      </c>
    </row>
    <row r="84" spans="2:15" s="170" customFormat="1" ht="12" customHeight="1" x14ac:dyDescent="0.4">
      <c r="B84" s="173"/>
      <c r="C84" s="175"/>
      <c r="D84" s="182"/>
      <c r="E84" s="173"/>
      <c r="F84" s="175"/>
      <c r="G84" s="661"/>
      <c r="H84" s="662"/>
      <c r="I84" s="662"/>
      <c r="J84" s="662"/>
      <c r="K84" s="663"/>
      <c r="L84" s="175"/>
      <c r="M84" s="175"/>
      <c r="N84" s="176">
        <f t="shared" si="5"/>
        <v>0</v>
      </c>
      <c r="O84" s="180" t="s">
        <v>284</v>
      </c>
    </row>
    <row r="85" spans="2:15" s="170" customFormat="1" ht="12" customHeight="1" x14ac:dyDescent="0.4">
      <c r="B85" s="173"/>
      <c r="C85" s="175"/>
      <c r="D85" s="182"/>
      <c r="E85" s="173"/>
      <c r="F85" s="175"/>
      <c r="G85" s="661"/>
      <c r="H85" s="662"/>
      <c r="I85" s="662"/>
      <c r="J85" s="662"/>
      <c r="K85" s="663"/>
      <c r="L85" s="175"/>
      <c r="M85" s="175"/>
      <c r="N85" s="176">
        <f t="shared" si="5"/>
        <v>0</v>
      </c>
      <c r="O85" s="180" t="s">
        <v>284</v>
      </c>
    </row>
    <row r="86" spans="2:15" s="170" customFormat="1" ht="12" customHeight="1" x14ac:dyDescent="0.4">
      <c r="B86" s="173"/>
      <c r="C86" s="175"/>
      <c r="D86" s="182"/>
      <c r="E86" s="173"/>
      <c r="F86" s="175"/>
      <c r="G86" s="661"/>
      <c r="H86" s="662"/>
      <c r="I86" s="662"/>
      <c r="J86" s="662"/>
      <c r="K86" s="663"/>
      <c r="L86" s="175"/>
      <c r="M86" s="175"/>
      <c r="N86" s="176">
        <f t="shared" si="5"/>
        <v>0</v>
      </c>
      <c r="O86" s="180" t="s">
        <v>284</v>
      </c>
    </row>
    <row r="87" spans="2:15" s="170" customFormat="1" ht="12" customHeight="1" x14ac:dyDescent="0.4">
      <c r="B87" s="173"/>
      <c r="C87" s="175"/>
      <c r="D87" s="182"/>
      <c r="E87" s="173"/>
      <c r="F87" s="175"/>
      <c r="G87" s="661"/>
      <c r="H87" s="662"/>
      <c r="I87" s="662"/>
      <c r="J87" s="662"/>
      <c r="K87" s="663"/>
      <c r="L87" s="175"/>
      <c r="M87" s="175"/>
      <c r="N87" s="176">
        <f t="shared" si="5"/>
        <v>0</v>
      </c>
      <c r="O87" s="180" t="s">
        <v>284</v>
      </c>
    </row>
    <row r="88" spans="2:15" s="170" customFormat="1" ht="12" customHeight="1" x14ac:dyDescent="0.4">
      <c r="B88" s="173"/>
      <c r="C88" s="169"/>
      <c r="D88" s="173"/>
      <c r="E88" s="173"/>
      <c r="F88" s="175"/>
      <c r="G88" s="661"/>
      <c r="H88" s="662"/>
      <c r="I88" s="662"/>
      <c r="J88" s="662"/>
      <c r="K88" s="663"/>
      <c r="L88" s="175"/>
      <c r="M88" s="175"/>
      <c r="N88" s="176">
        <f t="shared" si="5"/>
        <v>0</v>
      </c>
      <c r="O88" s="180" t="s">
        <v>284</v>
      </c>
    </row>
    <row r="89" spans="2:15" s="170" customFormat="1" ht="12" customHeight="1" x14ac:dyDescent="0.4">
      <c r="B89" s="173"/>
      <c r="C89" s="175"/>
      <c r="D89" s="174"/>
      <c r="E89" s="173"/>
      <c r="F89" s="175"/>
      <c r="G89" s="661"/>
      <c r="H89" s="662"/>
      <c r="I89" s="662"/>
      <c r="J89" s="662"/>
      <c r="K89" s="663"/>
      <c r="L89" s="175"/>
      <c r="M89" s="175"/>
      <c r="N89" s="176">
        <f t="shared" si="5"/>
        <v>0</v>
      </c>
      <c r="O89" s="180" t="s">
        <v>284</v>
      </c>
    </row>
    <row r="90" spans="2:15" s="170" customFormat="1" ht="12" customHeight="1" x14ac:dyDescent="0.4">
      <c r="B90" s="173"/>
      <c r="C90" s="175"/>
      <c r="D90" s="174"/>
      <c r="E90" s="173"/>
      <c r="F90" s="175"/>
      <c r="G90" s="661"/>
      <c r="H90" s="662"/>
      <c r="I90" s="662"/>
      <c r="J90" s="662"/>
      <c r="K90" s="663"/>
      <c r="L90" s="175"/>
      <c r="M90" s="175"/>
      <c r="N90" s="176">
        <f t="shared" si="5"/>
        <v>0</v>
      </c>
      <c r="O90" s="180" t="s">
        <v>284</v>
      </c>
    </row>
    <row r="91" spans="2:15" s="170" customFormat="1" ht="12" customHeight="1" x14ac:dyDescent="0.4">
      <c r="B91" s="173"/>
      <c r="C91" s="175"/>
      <c r="D91" s="174"/>
      <c r="E91" s="173"/>
      <c r="F91" s="175"/>
      <c r="G91" s="661"/>
      <c r="H91" s="662"/>
      <c r="I91" s="662"/>
      <c r="J91" s="662"/>
      <c r="K91" s="663"/>
      <c r="L91" s="175"/>
      <c r="M91" s="175"/>
      <c r="N91" s="176">
        <f t="shared" si="5"/>
        <v>0</v>
      </c>
      <c r="O91" s="180" t="s">
        <v>284</v>
      </c>
    </row>
    <row r="92" spans="2:15" s="170" customFormat="1" ht="12" customHeight="1" x14ac:dyDescent="0.4">
      <c r="B92" s="173"/>
      <c r="C92" s="175"/>
      <c r="D92" s="174"/>
      <c r="E92" s="182"/>
      <c r="F92" s="175"/>
      <c r="G92" s="661"/>
      <c r="H92" s="662"/>
      <c r="I92" s="662"/>
      <c r="J92" s="662"/>
      <c r="K92" s="663"/>
      <c r="L92" s="175"/>
      <c r="M92" s="175"/>
      <c r="N92" s="176">
        <f t="shared" si="5"/>
        <v>0</v>
      </c>
      <c r="O92" s="180" t="s">
        <v>284</v>
      </c>
    </row>
    <row r="93" spans="2:15" s="170" customFormat="1" ht="12" customHeight="1" x14ac:dyDescent="0.4">
      <c r="B93" s="173"/>
      <c r="C93" s="175"/>
      <c r="D93" s="174"/>
      <c r="E93" s="182"/>
      <c r="F93" s="175"/>
      <c r="G93" s="661"/>
      <c r="H93" s="662"/>
      <c r="I93" s="662"/>
      <c r="J93" s="662"/>
      <c r="K93" s="663"/>
      <c r="L93" s="175"/>
      <c r="M93" s="175"/>
      <c r="N93" s="176">
        <f t="shared" si="5"/>
        <v>0</v>
      </c>
      <c r="O93" s="180" t="s">
        <v>284</v>
      </c>
    </row>
    <row r="94" spans="2:15" s="170" customFormat="1" ht="12" customHeight="1" x14ac:dyDescent="0.4">
      <c r="B94" s="173"/>
      <c r="C94" s="175"/>
      <c r="D94" s="174"/>
      <c r="E94" s="174"/>
      <c r="F94" s="175"/>
      <c r="G94" s="661"/>
      <c r="H94" s="662"/>
      <c r="I94" s="662"/>
      <c r="J94" s="662"/>
      <c r="K94" s="663"/>
      <c r="L94" s="175"/>
      <c r="M94" s="175"/>
      <c r="N94" s="176">
        <f t="shared" si="5"/>
        <v>0</v>
      </c>
      <c r="O94" s="180" t="s">
        <v>284</v>
      </c>
    </row>
    <row r="95" spans="2:15" s="170" customFormat="1" ht="12" customHeight="1" x14ac:dyDescent="0.4">
      <c r="B95" s="173"/>
      <c r="C95" s="175"/>
      <c r="D95" s="174"/>
      <c r="E95" s="174"/>
      <c r="F95" s="175"/>
      <c r="G95" s="661"/>
      <c r="H95" s="662"/>
      <c r="I95" s="662"/>
      <c r="J95" s="662"/>
      <c r="K95" s="663"/>
      <c r="L95" s="175"/>
      <c r="M95" s="175"/>
      <c r="N95" s="176"/>
      <c r="O95" s="180" t="s">
        <v>284</v>
      </c>
    </row>
    <row r="96" spans="2:15" s="170" customFormat="1" ht="12" customHeight="1" x14ac:dyDescent="0.4">
      <c r="B96" s="173"/>
      <c r="C96" s="175"/>
      <c r="D96" s="174"/>
      <c r="E96" s="174"/>
      <c r="F96" s="175"/>
      <c r="G96" s="661"/>
      <c r="H96" s="662"/>
      <c r="I96" s="662"/>
      <c r="J96" s="662"/>
      <c r="K96" s="663"/>
      <c r="L96" s="175"/>
      <c r="M96" s="175"/>
      <c r="N96" s="176"/>
      <c r="O96" s="180" t="s">
        <v>284</v>
      </c>
    </row>
    <row r="97" spans="2:15" s="170" customFormat="1" ht="12" customHeight="1" x14ac:dyDescent="0.4">
      <c r="B97" s="173"/>
      <c r="C97" s="175"/>
      <c r="D97" s="174"/>
      <c r="E97" s="174"/>
      <c r="F97" s="175"/>
      <c r="G97" s="661"/>
      <c r="H97" s="662"/>
      <c r="I97" s="662"/>
      <c r="J97" s="662"/>
      <c r="K97" s="663"/>
      <c r="L97" s="175"/>
      <c r="M97" s="175"/>
      <c r="N97" s="176"/>
      <c r="O97" s="180" t="s">
        <v>284</v>
      </c>
    </row>
    <row r="98" spans="2:15" s="170" customFormat="1" ht="12" customHeight="1" x14ac:dyDescent="0.4">
      <c r="B98" s="173"/>
      <c r="C98" s="175"/>
      <c r="D98" s="174"/>
      <c r="E98" s="174"/>
      <c r="F98" s="175"/>
      <c r="G98" s="661"/>
      <c r="H98" s="662"/>
      <c r="I98" s="662"/>
      <c r="J98" s="662"/>
      <c r="K98" s="663"/>
      <c r="L98" s="175"/>
      <c r="M98" s="175"/>
      <c r="N98" s="176"/>
      <c r="O98" s="180" t="s">
        <v>284</v>
      </c>
    </row>
    <row r="99" spans="2:15" s="170" customFormat="1" ht="12" customHeight="1" x14ac:dyDescent="0.4">
      <c r="B99" s="173"/>
      <c r="C99" s="175"/>
      <c r="D99" s="174"/>
      <c r="E99" s="174"/>
      <c r="F99" s="175"/>
      <c r="G99" s="661"/>
      <c r="H99" s="662"/>
      <c r="I99" s="662"/>
      <c r="J99" s="662"/>
      <c r="K99" s="663"/>
      <c r="L99" s="175"/>
      <c r="M99" s="175"/>
      <c r="N99" s="176"/>
      <c r="O99" s="180" t="s">
        <v>284</v>
      </c>
    </row>
    <row r="100" spans="2:15" s="170" customFormat="1" ht="12" customHeight="1" x14ac:dyDescent="0.4">
      <c r="B100" s="173"/>
      <c r="C100" s="175"/>
      <c r="D100" s="174"/>
      <c r="E100" s="174"/>
      <c r="F100" s="175"/>
      <c r="G100" s="661"/>
      <c r="H100" s="662"/>
      <c r="I100" s="662"/>
      <c r="J100" s="662"/>
      <c r="K100" s="663"/>
      <c r="L100" s="175"/>
      <c r="M100" s="175"/>
      <c r="N100" s="176"/>
      <c r="O100" s="180" t="s">
        <v>284</v>
      </c>
    </row>
    <row r="101" spans="2:15" s="170" customFormat="1" ht="12" customHeight="1" x14ac:dyDescent="0.4">
      <c r="B101" s="173"/>
      <c r="C101" s="169"/>
      <c r="D101" s="174"/>
      <c r="E101" s="182"/>
      <c r="F101" s="175"/>
      <c r="G101" s="661"/>
      <c r="H101" s="662"/>
      <c r="I101" s="662"/>
      <c r="J101" s="662"/>
      <c r="K101" s="663"/>
      <c r="L101" s="175"/>
      <c r="M101" s="183"/>
      <c r="N101" s="176"/>
      <c r="O101" s="180" t="s">
        <v>284</v>
      </c>
    </row>
    <row r="102" spans="2:15" s="162" customFormat="1" ht="15.6" x14ac:dyDescent="0.4">
      <c r="B102" s="184"/>
      <c r="C102" s="185"/>
      <c r="D102" s="186"/>
      <c r="E102" s="186"/>
      <c r="F102" s="183"/>
      <c r="G102" s="187"/>
      <c r="H102" s="187"/>
      <c r="I102" s="187"/>
      <c r="J102" s="187"/>
      <c r="K102" s="187"/>
      <c r="L102" s="187"/>
      <c r="M102" s="187"/>
      <c r="N102" s="187"/>
      <c r="O102" s="187"/>
    </row>
  </sheetData>
  <mergeCells count="31">
    <mergeCell ref="B60:E60"/>
    <mergeCell ref="G60:K60"/>
    <mergeCell ref="G61:K61"/>
    <mergeCell ref="G62:K101"/>
    <mergeCell ref="G22:O22"/>
    <mergeCell ref="G23:M23"/>
    <mergeCell ref="B25:E25"/>
    <mergeCell ref="L25:M25"/>
    <mergeCell ref="L26:M59"/>
    <mergeCell ref="O13:O16"/>
    <mergeCell ref="G16:K16"/>
    <mergeCell ref="L16:M16"/>
    <mergeCell ref="B17:B21"/>
    <mergeCell ref="C17:D18"/>
    <mergeCell ref="L17:M17"/>
    <mergeCell ref="G18:K18"/>
    <mergeCell ref="C19:D21"/>
    <mergeCell ref="E19:O19"/>
    <mergeCell ref="E20:O20"/>
    <mergeCell ref="E21:O21"/>
    <mergeCell ref="N3:N6"/>
    <mergeCell ref="H8:L8"/>
    <mergeCell ref="B13:C15"/>
    <mergeCell ref="D13:D14"/>
    <mergeCell ref="E13:E16"/>
    <mergeCell ref="G13:I13"/>
    <mergeCell ref="J13:J14"/>
    <mergeCell ref="K13:K14"/>
    <mergeCell ref="L13:L14"/>
    <mergeCell ref="M13:M14"/>
    <mergeCell ref="N13:N16"/>
  </mergeCells>
  <phoneticPr fontId="2" type="noConversion"/>
  <conditionalFormatting sqref="B24 J102">
    <cfRule type="containsText" dxfId="95" priority="574" operator="containsText" text="1">
      <formula>NOT(ISERROR(SEARCH("1",B24)))</formula>
    </cfRule>
  </conditionalFormatting>
  <conditionalFormatting sqref="B25">
    <cfRule type="containsText" dxfId="94" priority="557" operator="containsText" text="1">
      <formula>NOT(ISERROR(SEARCH("1",B25)))</formula>
    </cfRule>
  </conditionalFormatting>
  <conditionalFormatting sqref="B27:B28">
    <cfRule type="containsText" dxfId="93" priority="537" operator="containsText" text="1">
      <formula>NOT(ISERROR(SEARCH("1",B27)))</formula>
    </cfRule>
  </conditionalFormatting>
  <conditionalFormatting sqref="B60">
    <cfRule type="containsText" dxfId="92" priority="558" operator="containsText" text="1">
      <formula>NOT(ISERROR(SEARCH("1",B60)))</formula>
    </cfRule>
  </conditionalFormatting>
  <conditionalFormatting sqref="B62">
    <cfRule type="containsText" dxfId="91" priority="31" operator="containsText" text="1">
      <formula>NOT(ISERROR(SEARCH("1",B62)))</formula>
    </cfRule>
  </conditionalFormatting>
  <conditionalFormatting sqref="C22 F22">
    <cfRule type="cellIs" dxfId="90" priority="577" stopIfTrue="1" operator="equal">
      <formula>"변경"</formula>
    </cfRule>
    <cfRule type="containsText" dxfId="89" priority="576" operator="containsText" text="신규">
      <formula>NOT(ISERROR(SEARCH("신규",C22)))</formula>
    </cfRule>
  </conditionalFormatting>
  <conditionalFormatting sqref="C24 F26 F61 F90:F93">
    <cfRule type="containsText" dxfId="88" priority="602" operator="containsText" text="신규">
      <formula>NOT(ISERROR(SEARCH("신규",C24)))</formula>
    </cfRule>
  </conditionalFormatting>
  <conditionalFormatting sqref="C24 F26 F61 F102">
    <cfRule type="cellIs" dxfId="87" priority="603" stopIfTrue="1" operator="equal">
      <formula>"변경"</formula>
    </cfRule>
  </conditionalFormatting>
  <conditionalFormatting sqref="C26:C59">
    <cfRule type="containsText" dxfId="86" priority="212" operator="containsText" text="신규">
      <formula>NOT(ISERROR(SEARCH("신규",C26)))</formula>
    </cfRule>
    <cfRule type="containsBlanks" dxfId="85" priority="211">
      <formula>LEN(TRIM(C26))=0</formula>
    </cfRule>
    <cfRule type="cellIs" dxfId="84" priority="213" stopIfTrue="1" operator="equal">
      <formula>"변경"</formula>
    </cfRule>
  </conditionalFormatting>
  <conditionalFormatting sqref="C61:C102">
    <cfRule type="containsBlanks" dxfId="83" priority="18">
      <formula>LEN(TRIM(C61))=0</formula>
    </cfRule>
    <cfRule type="containsText" dxfId="82" priority="19" operator="containsText" text="신규">
      <formula>NOT(ISERROR(SEARCH("신규",C61)))</formula>
    </cfRule>
    <cfRule type="cellIs" dxfId="81" priority="20" stopIfTrue="1" operator="equal">
      <formula>"변경"</formula>
    </cfRule>
  </conditionalFormatting>
  <conditionalFormatting sqref="E17:E21">
    <cfRule type="containsErrors" dxfId="80" priority="578">
      <formula>ISERROR(E17)</formula>
    </cfRule>
  </conditionalFormatting>
  <conditionalFormatting sqref="F29:F59">
    <cfRule type="containsText" dxfId="79" priority="129" operator="containsText" text="신규">
      <formula>NOT(ISERROR(SEARCH("신규",F29)))</formula>
    </cfRule>
    <cfRule type="containsBlanks" dxfId="78" priority="128">
      <formula>LEN(TRIM(F29))=0</formula>
    </cfRule>
    <cfRule type="cellIs" dxfId="77" priority="125" operator="equal">
      <formula>"대변경"</formula>
    </cfRule>
    <cfRule type="cellIs" dxfId="76" priority="126" operator="equal">
      <formula>"중변경"</formula>
    </cfRule>
    <cfRule type="cellIs" dxfId="75" priority="127" stopIfTrue="1" operator="equal">
      <formula>"소변경"</formula>
    </cfRule>
  </conditionalFormatting>
  <conditionalFormatting sqref="F63:F89">
    <cfRule type="containsText" dxfId="74" priority="16" operator="containsText" text="신규">
      <formula>NOT(ISERROR(SEARCH("신규",F63)))</formula>
    </cfRule>
    <cfRule type="containsBlanks" dxfId="73" priority="15">
      <formula>LEN(TRIM(F63))=0</formula>
    </cfRule>
    <cfRule type="cellIs" dxfId="72" priority="14" stopIfTrue="1" operator="equal">
      <formula>"소변경"</formula>
    </cfRule>
  </conditionalFormatting>
  <conditionalFormatting sqref="F63:F102">
    <cfRule type="cellIs" dxfId="71" priority="13" operator="equal">
      <formula>"중변경"</formula>
    </cfRule>
    <cfRule type="cellIs" dxfId="70" priority="12" operator="equal">
      <formula>"대변경"</formula>
    </cfRule>
  </conditionalFormatting>
  <conditionalFormatting sqref="F90:F102">
    <cfRule type="cellIs" dxfId="69" priority="68" stopIfTrue="1" operator="equal">
      <formula>"소변경"</formula>
    </cfRule>
  </conditionalFormatting>
  <conditionalFormatting sqref="F94:F100">
    <cfRule type="containsText" dxfId="68" priority="67" operator="containsText" text="신규">
      <formula>NOT(ISERROR(SEARCH("신규",F94)))</formula>
    </cfRule>
    <cfRule type="containsBlanks" dxfId="67" priority="66">
      <formula>LEN(TRIM(F94))=0</formula>
    </cfRule>
  </conditionalFormatting>
  <conditionalFormatting sqref="F101:F102">
    <cfRule type="containsText" dxfId="66" priority="529" operator="containsText" text="신규">
      <formula>NOT(ISERROR(SEARCH("신규",F101)))</formula>
    </cfRule>
    <cfRule type="containsBlanks" dxfId="65" priority="528">
      <formula>LEN(TRIM(F101))=0</formula>
    </cfRule>
  </conditionalFormatting>
  <conditionalFormatting sqref="G22:G23">
    <cfRule type="containsText" dxfId="64" priority="575" operator="containsText" text="1">
      <formula>NOT(ISERROR(SEARCH("1",G22)))</formula>
    </cfRule>
  </conditionalFormatting>
  <conditionalFormatting sqref="G13:I16 G102:I1048576">
    <cfRule type="containsText" dxfId="63" priority="600" operator="containsText" text="1">
      <formula>NOT(ISERROR(SEARCH("1",G13)))</formula>
    </cfRule>
  </conditionalFormatting>
  <conditionalFormatting sqref="G26:I26">
    <cfRule type="containsText" dxfId="62" priority="555" operator="containsText" text="1">
      <formula>NOT(ISERROR(SEARCH("1",G26)))</formula>
    </cfRule>
  </conditionalFormatting>
  <conditionalFormatting sqref="G29:I59">
    <cfRule type="containsText" dxfId="61" priority="180" operator="containsText" text="1">
      <formula>NOT(ISERROR(SEARCH("1",G29)))</formula>
    </cfRule>
  </conditionalFormatting>
  <conditionalFormatting sqref="G25:K25">
    <cfRule type="containsText" dxfId="60" priority="552" operator="containsText" text="1">
      <formula>NOT(ISERROR(SEARCH("1",G25)))</formula>
    </cfRule>
  </conditionalFormatting>
  <conditionalFormatting sqref="J26">
    <cfRule type="containsText" dxfId="59" priority="554" operator="containsText" text="1">
      <formula>NOT(ISERROR(SEARCH("1",J26)))</formula>
    </cfRule>
  </conditionalFormatting>
  <conditionalFormatting sqref="J29:J59">
    <cfRule type="containsText" dxfId="58" priority="179" operator="containsText" text="1">
      <formula>NOT(ISERROR(SEARCH("1",J29)))</formula>
    </cfRule>
  </conditionalFormatting>
  <conditionalFormatting sqref="K13:K16 K102:K1048576">
    <cfRule type="containsText" dxfId="57" priority="601" operator="containsText" text="1">
      <formula>NOT(ISERROR(SEARCH("1",K13)))</formula>
    </cfRule>
  </conditionalFormatting>
  <conditionalFormatting sqref="K26">
    <cfRule type="containsText" dxfId="56" priority="556" operator="containsText" text="1">
      <formula>NOT(ISERROR(SEARCH("1",K26)))</formula>
    </cfRule>
  </conditionalFormatting>
  <conditionalFormatting sqref="K29:K59">
    <cfRule type="containsText" dxfId="55" priority="181" operator="containsText" text="1">
      <formula>NOT(ISERROR(SEARCH("1",K29)))</formula>
    </cfRule>
  </conditionalFormatting>
  <conditionalFormatting sqref="L13:L16">
    <cfRule type="containsText" dxfId="54" priority="598" operator="containsText" text="1">
      <formula>NOT(ISERROR(SEARCH("1",L13)))</formula>
    </cfRule>
  </conditionalFormatting>
  <conditionalFormatting sqref="L61:L1048576">
    <cfRule type="containsText" dxfId="53" priority="1" operator="containsText" text="1">
      <formula>NOT(ISERROR(SEARCH("1",L61)))</formula>
    </cfRule>
  </conditionalFormatting>
  <conditionalFormatting sqref="L60:O60">
    <cfRule type="containsText" dxfId="52" priority="520" operator="containsText" text="1">
      <formula>NOT(ISERROR(SEARCH("1",L60)))</formula>
    </cfRule>
  </conditionalFormatting>
  <conditionalFormatting sqref="M13:M16">
    <cfRule type="containsText" dxfId="51" priority="599" operator="containsText" text="1">
      <formula>NOT(ISERROR(SEARCH("1",M13)))</formula>
    </cfRule>
  </conditionalFormatting>
  <conditionalFormatting sqref="M61:M1048576">
    <cfRule type="containsText" dxfId="50" priority="2" operator="containsText" text="1">
      <formula>NOT(ISERROR(SEARCH("1",M61)))</formula>
    </cfRule>
  </conditionalFormatting>
  <conditionalFormatting sqref="N1:N3 N13:N18 N29:N59">
    <cfRule type="containsErrors" dxfId="49" priority="585">
      <formula>ISERROR(N1)</formula>
    </cfRule>
  </conditionalFormatting>
  <conditionalFormatting sqref="N7:N9">
    <cfRule type="containsErrors" dxfId="48" priority="584">
      <formula>ISERROR(N7)</formula>
    </cfRule>
  </conditionalFormatting>
  <conditionalFormatting sqref="N8">
    <cfRule type="containsText" dxfId="47" priority="582" operator="containsText" text="NOK">
      <formula>NOT(ISERROR(SEARCH("NOK",N8)))</formula>
    </cfRule>
  </conditionalFormatting>
  <conditionalFormatting sqref="N26">
    <cfRule type="containsErrors" dxfId="46" priority="548">
      <formula>ISERROR(N26)</formula>
    </cfRule>
    <cfRule type="containsBlanks" dxfId="45" priority="549">
      <formula>LEN(TRIM(N26))=0</formula>
    </cfRule>
  </conditionalFormatting>
  <conditionalFormatting sqref="N61:N101">
    <cfRule type="containsErrors" dxfId="44" priority="74">
      <formula>ISERROR(N61)</formula>
    </cfRule>
    <cfRule type="containsBlanks" dxfId="43" priority="75">
      <formula>LEN(TRIM(N61))=0</formula>
    </cfRule>
  </conditionalFormatting>
  <conditionalFormatting sqref="N102">
    <cfRule type="containsText" dxfId="42" priority="519" operator="containsText" text="1">
      <formula>NOT(ISERROR(SEARCH("1",N102)))</formula>
    </cfRule>
  </conditionalFormatting>
  <conditionalFormatting sqref="N25:O25">
    <cfRule type="containsText" dxfId="41" priority="559" operator="containsText" text="1">
      <formula>NOT(ISERROR(SEARCH("1",N25)))</formula>
    </cfRule>
  </conditionalFormatting>
  <conditionalFormatting sqref="N29:O59 F90:F93 N23 C24 F26 F61">
    <cfRule type="containsBlanks" dxfId="40" priority="588">
      <formula>LEN(TRIM(C23))=0</formula>
    </cfRule>
  </conditionalFormatting>
  <conditionalFormatting sqref="O8">
    <cfRule type="containsErrors" dxfId="39" priority="589">
      <formula>ISERROR(O8)</formula>
    </cfRule>
  </conditionalFormatting>
  <conditionalFormatting sqref="O13:O16 O103:O1048576">
    <cfRule type="containsText" dxfId="38" priority="596" operator="containsText" text="APP">
      <formula>NOT(ISERROR(SEARCH("APP",O13)))</formula>
    </cfRule>
    <cfRule type="containsText" dxfId="37" priority="590" operator="containsText" text="(하)">
      <formula>NOT(ISERROR(SEARCH("(하)",O13)))</formula>
    </cfRule>
    <cfRule type="containsText" dxfId="36" priority="592" operator="containsText" text="(상)">
      <formula>NOT(ISERROR(SEARCH("(상)",O13)))</formula>
    </cfRule>
    <cfRule type="containsText" dxfId="35" priority="593" operator="containsText" text="embed">
      <formula>NOT(ISERROR(SEARCH("embed",O13)))</formula>
    </cfRule>
    <cfRule type="containsText" dxfId="34" priority="594" operator="containsText" text="호처리">
      <formula>NOT(ISERROR(SEARCH("호처리",O13)))</formula>
    </cfRule>
    <cfRule type="containsText" dxfId="33" priority="595" operator="containsText" text="멀티미디어">
      <formula>NOT(ISERROR(SEARCH("멀티미디어",O13)))</formula>
    </cfRule>
    <cfRule type="containsText" dxfId="32" priority="597" operator="containsText" text="웹개발">
      <formula>NOT(ISERROR(SEARCH("웹개발",O13)))</formula>
    </cfRule>
    <cfRule type="containsText" dxfId="31" priority="591" operator="containsText" text="(중)">
      <formula>NOT(ISERROR(SEARCH("(중)",O13)))</formula>
    </cfRule>
  </conditionalFormatting>
  <conditionalFormatting sqref="O23">
    <cfRule type="containsText" dxfId="30" priority="583" operator="containsText" text="1">
      <formula>NOT(ISERROR(SEARCH("1",O23)))</formula>
    </cfRule>
  </conditionalFormatting>
  <conditionalFormatting sqref="O26 O29:O59">
    <cfRule type="containsText" dxfId="29" priority="566" operator="containsText" text="공정제어용 ">
      <formula>NOT(ISERROR(SEARCH("공정제어용 ",O26)))</formula>
    </cfRule>
    <cfRule type="containsText" dxfId="28" priority="521" operator="containsText" text="지능용(대연동)">
      <formula>NOT(ISERROR(SEARCH("지능용(대연동)",O26)))</formula>
    </cfRule>
    <cfRule type="containsText" dxfId="27" priority="571" operator="containsText" text="멀티미디어">
      <formula>NOT(ISERROR(SEARCH("멀티미디어",O26)))</formula>
    </cfRule>
    <cfRule type="containsText" dxfId="26" priority="572" operator="containsText" text="업무처리용">
      <formula>NOT(ISERROR(SEARCH("업무처리용",O26)))</formula>
    </cfRule>
    <cfRule type="containsText" dxfId="25" priority="573" operator="containsText" text="과학기술용">
      <formula>NOT(ISERROR(SEARCH("과학기술용",O26)))</formula>
    </cfRule>
    <cfRule type="containsText" dxfId="24" priority="569" operator="containsText" text="시스템용">
      <formula>NOT(ISERROR(SEARCH("시스템용",O26)))</formula>
    </cfRule>
    <cfRule type="containsText" dxfId="23" priority="567" operator="containsText" text="통신제어용">
      <formula>NOT(ISERROR(SEARCH("통신제어용",O26)))</formula>
    </cfRule>
    <cfRule type="containsText" dxfId="22" priority="570" operator="containsText" text="지능정보용">
      <formula>NOT(ISERROR(SEARCH("지능정보용",O26)))</formula>
    </cfRule>
  </conditionalFormatting>
  <conditionalFormatting sqref="O26">
    <cfRule type="containsBlanks" dxfId="21" priority="568">
      <formula>LEN(TRIM(O26))=0</formula>
    </cfRule>
  </conditionalFormatting>
  <conditionalFormatting sqref="O29:O59 O26">
    <cfRule type="containsText" dxfId="20" priority="565" operator="containsText" text="공정제어용">
      <formula>NOT(ISERROR(SEARCH("공정제어용",O26)))</formula>
    </cfRule>
    <cfRule type="containsText" dxfId="19" priority="564" operator="containsText" text="지휘통제용">
      <formula>NOT(ISERROR(SEARCH("지휘통제용",O26)))</formula>
    </cfRule>
    <cfRule type="containsText" dxfId="18" priority="523" operator="containsText" text="과학용(소연동)">
      <formula>NOT(ISERROR(SEARCH("과학용(소연동)",O26)))</formula>
    </cfRule>
  </conditionalFormatting>
  <conditionalFormatting sqref="O30">
    <cfRule type="containsText" dxfId="17" priority="522" operator="containsText" text="과학용(소연동)">
      <formula>NOT(ISERROR(SEARCH("과학용(소연동)",O30)))</formula>
    </cfRule>
  </conditionalFormatting>
  <conditionalFormatting sqref="O33:O38">
    <cfRule type="containsText" dxfId="16" priority="524" operator="containsText" text="제어용(극대)">
      <formula>NOT(ISERROR(SEARCH("제어용(극대)",O33)))</formula>
    </cfRule>
  </conditionalFormatting>
  <conditionalFormatting sqref="O61:O101">
    <cfRule type="containsText" dxfId="15" priority="47" operator="containsText" text="지능용(대연동)">
      <formula>NOT(ISERROR(SEARCH("지능용(대연동)",O61)))</formula>
    </cfRule>
    <cfRule type="containsText" dxfId="14" priority="77" operator="containsText" text="공정제어용">
      <formula>NOT(ISERROR(SEARCH("공정제어용",O61)))</formula>
    </cfRule>
    <cfRule type="containsText" dxfId="13" priority="78" operator="containsText" text="공정제어용 ">
      <formula>NOT(ISERROR(SEARCH("공정제어용 ",O61)))</formula>
    </cfRule>
    <cfRule type="containsText" dxfId="12" priority="79" operator="containsText" text="통신제어용">
      <formula>NOT(ISERROR(SEARCH("통신제어용",O61)))</formula>
    </cfRule>
    <cfRule type="containsText" dxfId="11" priority="80" operator="containsText" text="시스템용">
      <formula>NOT(ISERROR(SEARCH("시스템용",O61)))</formula>
    </cfRule>
    <cfRule type="containsText" dxfId="10" priority="81" operator="containsText" text="지능정보용">
      <formula>NOT(ISERROR(SEARCH("지능정보용",O61)))</formula>
    </cfRule>
    <cfRule type="containsBlanks" dxfId="9" priority="85">
      <formula>LEN(TRIM(O61))=0</formula>
    </cfRule>
    <cfRule type="containsText" dxfId="8" priority="48" operator="containsText" text="과학용(소연동)">
      <formula>NOT(ISERROR(SEARCH("과학용(소연동)",O61)))</formula>
    </cfRule>
    <cfRule type="containsText" dxfId="7" priority="76" operator="containsText" text="지휘통제용">
      <formula>NOT(ISERROR(SEARCH("지휘통제용",O61)))</formula>
    </cfRule>
    <cfRule type="containsText" dxfId="6" priority="84" operator="containsText" text="과학기술용">
      <formula>NOT(ISERROR(SEARCH("과학기술용",O61)))</formula>
    </cfRule>
    <cfRule type="containsText" dxfId="5" priority="82" operator="containsText" text="멀티미디어">
      <formula>NOT(ISERROR(SEARCH("멀티미디어",O61)))</formula>
    </cfRule>
    <cfRule type="containsText" dxfId="4" priority="83" operator="containsText" text="업무처리용">
      <formula>NOT(ISERROR(SEARCH("업무처리용",O61)))</formula>
    </cfRule>
  </conditionalFormatting>
  <conditionalFormatting sqref="O102">
    <cfRule type="containsText" dxfId="3" priority="586" operator="containsText" text="신규">
      <formula>NOT(ISERROR(SEARCH("신규",O102)))</formula>
    </cfRule>
    <cfRule type="cellIs" dxfId="2" priority="587" stopIfTrue="1" operator="equal">
      <formula>"변경"</formula>
    </cfRule>
  </conditionalFormatting>
  <dataValidations count="13">
    <dataValidation type="list" allowBlank="1" showInputMessage="1" showErrorMessage="1" sqref="O62:O101 O29:O59" xr:uid="{00000000-0002-0000-0100-000000000000}">
      <formula1>"업무용(없음),과학용(소연동),멀티미디어(중연동),지능용(대연동),제어용(극대)"</formula1>
    </dataValidation>
    <dataValidation type="list" allowBlank="1" showInputMessage="1" showErrorMessage="1" sqref="F29:F59 C71 F62:F101" xr:uid="{00000000-0002-0000-0100-000001000000}">
      <formula1>"소변경,중변경,대변경,신규"</formula1>
    </dataValidation>
    <dataValidation operator="equal" allowBlank="1" showInputMessage="1" showErrorMessage="1" sqref="L26:M59 G62:K101" xr:uid="{00000000-0002-0000-0100-000002000000}"/>
    <dataValidation type="whole" operator="equal" allowBlank="1" showInputMessage="1" showErrorMessage="1" sqref="G61" xr:uid="{00000000-0002-0000-0100-000003000000}">
      <formula1>0</formula1>
    </dataValidation>
    <dataValidation type="list" allowBlank="1" showInputMessage="1" showErrorMessage="1" sqref="O61 O26:O28" xr:uid="{00000000-0002-0000-0100-000004000000}">
      <formula1>"업무처리용,과학기술용,멀티미디어용,지능정보용,시스템용,통신제어용,공정제어용,지휘통제용"</formula1>
    </dataValidation>
    <dataValidation type="list" allowBlank="1" showInputMessage="1" showErrorMessage="1" sqref="C24 C61:C70 C72:C102 C26:C59" xr:uid="{00000000-0002-0000-0100-000005000000}">
      <formula1>"변경,신규,배치성"</formula1>
    </dataValidation>
    <dataValidation type="list" allowBlank="1" showInputMessage="1" showErrorMessage="1" sqref="O102 F23 F17:F18 F26:F28 F61 F102" xr:uid="{00000000-0002-0000-0100-000006000000}">
      <formula1>"변경,신규"</formula1>
    </dataValidation>
    <dataValidation type="list" allowBlank="1" showInputMessage="1" showErrorMessage="1" sqref="G26:K59" xr:uid="{00000000-0002-0000-0100-000007000000}">
      <formula1>"0,1"</formula1>
    </dataValidation>
    <dataValidation type="list" allowBlank="1" showInputMessage="1" showErrorMessage="1" error="ILF와 EIF 같은라인 입력 불가" sqref="M61:M101" xr:uid="{00000000-0002-0000-0100-000008000000}">
      <formula1>IF(L61=1, $J$9, $H$9:$I$9)</formula1>
    </dataValidation>
    <dataValidation type="list" allowBlank="1" showInputMessage="1" showErrorMessage="1" error="ILF와 EIF 같은라인 입력 불가" sqref="L61:L101" xr:uid="{00000000-0002-0000-0100-000009000000}">
      <formula1>IF(M61=1, $J$9, $H$9:$I$9)</formula1>
    </dataValidation>
    <dataValidation type="list" allowBlank="1" showInputMessage="1" showErrorMessage="1" sqref="M102:N102" xr:uid="{00000000-0002-0000-0100-00000A000000}">
      <formula1>IF(SUM($G102:$K102,$L102)&gt;0, $J$9, $H$9:$I$9)</formula1>
    </dataValidation>
    <dataValidation type="list" allowBlank="1" showInputMessage="1" showErrorMessage="1" sqref="L102" xr:uid="{00000000-0002-0000-0100-00000B000000}">
      <formula1>IF(SUM($G102:$K102,$M102)&gt;0, $J$9, $H$9:$I$9)</formula1>
    </dataValidation>
    <dataValidation type="list" allowBlank="1" showInputMessage="1" showErrorMessage="1" sqref="G102:K102" xr:uid="{00000000-0002-0000-0100-00000C000000}">
      <formula1>IF(SUM($L102:$M102)&gt;0, $J$9, $H$9:$I$9)</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V97"/>
  <sheetViews>
    <sheetView topLeftCell="A76" workbookViewId="0">
      <selection activeCell="M28" sqref="M28"/>
    </sheetView>
  </sheetViews>
  <sheetFormatPr defaultColWidth="10" defaultRowHeight="13.2" x14ac:dyDescent="0.4"/>
  <cols>
    <col min="1" max="1" width="4" style="192" customWidth="1"/>
    <col min="2" max="2" width="11.796875" style="192" customWidth="1"/>
    <col min="3" max="3" width="10.5" style="192" customWidth="1"/>
    <col min="4" max="4" width="11.296875" style="192" customWidth="1"/>
    <col min="5" max="7" width="8.69921875" style="192" customWidth="1"/>
    <col min="8" max="8" width="12" style="192" customWidth="1"/>
    <col min="9" max="10" width="8.69921875" style="192" customWidth="1"/>
    <col min="11" max="11" width="25" style="192" customWidth="1"/>
    <col min="12" max="12" width="8.69921875" style="192" customWidth="1"/>
    <col min="13" max="15" width="7.19921875" style="192" customWidth="1"/>
    <col min="16" max="16" width="7.19921875" style="192" bestFit="1" customWidth="1"/>
    <col min="17" max="17" width="10.69921875" style="192" bestFit="1" customWidth="1"/>
    <col min="18" max="18" width="18.296875" style="192" bestFit="1" customWidth="1"/>
    <col min="19" max="19" width="11" style="194" customWidth="1"/>
    <col min="20" max="20" width="11" style="192" customWidth="1"/>
    <col min="21" max="21" width="10.796875" style="192" customWidth="1"/>
    <col min="22" max="23" width="5" style="192" customWidth="1"/>
    <col min="24" max="16384" width="10" style="192"/>
  </cols>
  <sheetData>
    <row r="1" spans="2:19" s="191" customFormat="1" ht="5.25" customHeight="1" x14ac:dyDescent="0.4">
      <c r="B1" s="188"/>
      <c r="C1" s="188"/>
      <c r="D1" s="189"/>
      <c r="E1" s="189"/>
      <c r="F1" s="189"/>
      <c r="G1" s="189"/>
      <c r="H1" s="189"/>
      <c r="I1" s="189"/>
      <c r="J1" s="189"/>
      <c r="K1" s="189"/>
      <c r="L1" s="189"/>
      <c r="M1" s="189"/>
      <c r="N1" s="189"/>
      <c r="O1" s="189"/>
      <c r="P1" s="189"/>
      <c r="Q1" s="189"/>
      <c r="R1" s="189"/>
      <c r="S1" s="190"/>
    </row>
    <row r="2" spans="2:19" ht="13.5" customHeight="1" x14ac:dyDescent="0.4">
      <c r="B2" s="683" t="str">
        <f>'1.필수작성'!F4</f>
        <v>위치 문자 서비스</v>
      </c>
      <c r="C2" s="683"/>
      <c r="D2" s="683"/>
      <c r="E2" s="683"/>
      <c r="F2" s="683"/>
      <c r="G2" s="683"/>
      <c r="H2" s="684" t="s">
        <v>301</v>
      </c>
      <c r="I2" s="684"/>
      <c r="J2" s="684"/>
      <c r="K2" s="684"/>
      <c r="L2" s="684"/>
      <c r="P2" s="193"/>
      <c r="Q2" s="193"/>
      <c r="R2" s="193"/>
    </row>
    <row r="3" spans="2:19" ht="8.25" customHeight="1" x14ac:dyDescent="0.4">
      <c r="H3" s="684"/>
      <c r="I3" s="684"/>
      <c r="J3" s="684"/>
      <c r="K3" s="684"/>
      <c r="L3" s="684"/>
    </row>
    <row r="4" spans="2:19" x14ac:dyDescent="0.4">
      <c r="B4" s="195" t="s">
        <v>302</v>
      </c>
      <c r="C4" s="196"/>
      <c r="E4" s="197">
        <f>C13</f>
        <v>31</v>
      </c>
      <c r="F4" s="195"/>
      <c r="G4" s="195"/>
      <c r="H4" s="684"/>
      <c r="I4" s="684"/>
      <c r="J4" s="684"/>
      <c r="K4" s="684"/>
      <c r="L4" s="684"/>
    </row>
    <row r="5" spans="2:19" ht="3" customHeight="1" x14ac:dyDescent="0.4"/>
    <row r="6" spans="2:19" s="198" customFormat="1" ht="11.25" customHeight="1" x14ac:dyDescent="0.4">
      <c r="B6" s="685" t="s">
        <v>32</v>
      </c>
      <c r="C6" s="685" t="s">
        <v>292</v>
      </c>
      <c r="D6" s="686" t="s">
        <v>303</v>
      </c>
      <c r="E6" s="687"/>
      <c r="F6" s="678" t="s">
        <v>293</v>
      </c>
      <c r="G6" s="679"/>
      <c r="H6" s="679"/>
      <c r="I6" s="679"/>
      <c r="J6" s="681"/>
      <c r="K6" s="678" t="s">
        <v>304</v>
      </c>
      <c r="L6" s="681"/>
    </row>
    <row r="7" spans="2:19" s="198" customFormat="1" ht="11.25" customHeight="1" x14ac:dyDescent="0.4">
      <c r="B7" s="685"/>
      <c r="C7" s="685"/>
      <c r="D7" s="672" t="s">
        <v>305</v>
      </c>
      <c r="E7" s="672" t="s">
        <v>306</v>
      </c>
      <c r="F7" s="678" t="s">
        <v>307</v>
      </c>
      <c r="G7" s="679"/>
      <c r="H7" s="681"/>
      <c r="I7" s="672" t="s">
        <v>308</v>
      </c>
      <c r="J7" s="672" t="s">
        <v>309</v>
      </c>
      <c r="K7" s="672" t="s">
        <v>310</v>
      </c>
      <c r="L7" s="672" t="s">
        <v>311</v>
      </c>
    </row>
    <row r="8" spans="2:19" s="198" customFormat="1" ht="10.8" x14ac:dyDescent="0.4">
      <c r="B8" s="685"/>
      <c r="C8" s="685"/>
      <c r="D8" s="673"/>
      <c r="E8" s="673"/>
      <c r="F8" s="199" t="s">
        <v>295</v>
      </c>
      <c r="G8" s="199" t="s">
        <v>249</v>
      </c>
      <c r="H8" s="199" t="s">
        <v>250</v>
      </c>
      <c r="I8" s="673"/>
      <c r="J8" s="673"/>
      <c r="K8" s="673"/>
      <c r="L8" s="673"/>
    </row>
    <row r="9" spans="2:19" ht="12" customHeight="1" x14ac:dyDescent="0.4">
      <c r="B9" s="200" t="s">
        <v>257</v>
      </c>
      <c r="C9" s="201">
        <f>SUM(D9:E9)</f>
        <v>31</v>
      </c>
      <c r="D9" s="202">
        <f>SUM(F9:J9)</f>
        <v>24</v>
      </c>
      <c r="E9" s="202">
        <f>SUM(K9:L9)</f>
        <v>7</v>
      </c>
      <c r="F9" s="202">
        <f>'2. 규모산정(FP)'!G3</f>
        <v>7</v>
      </c>
      <c r="G9" s="202">
        <f>'2. 규모산정(FP)'!H3</f>
        <v>2</v>
      </c>
      <c r="H9" s="202">
        <f>'2. 규모산정(FP)'!I3</f>
        <v>1</v>
      </c>
      <c r="I9" s="202">
        <f>'2. 규모산정(FP)'!J3</f>
        <v>6</v>
      </c>
      <c r="J9" s="202">
        <f>'2. 규모산정(FP)'!K3</f>
        <v>8</v>
      </c>
      <c r="K9" s="202">
        <f>'2. 규모산정(FP)'!L3</f>
        <v>6</v>
      </c>
      <c r="L9" s="202">
        <f>'2. 규모산정(FP)'!M3</f>
        <v>1</v>
      </c>
      <c r="M9" s="198"/>
      <c r="N9" s="203"/>
    </row>
    <row r="10" spans="2:19" ht="12" customHeight="1" x14ac:dyDescent="0.4">
      <c r="B10" s="200" t="s">
        <v>312</v>
      </c>
      <c r="C10" s="201">
        <f>SUM(D10:E10)</f>
        <v>0</v>
      </c>
      <c r="D10" s="202">
        <f>SUM(F10:J10)</f>
        <v>0</v>
      </c>
      <c r="E10" s="202">
        <f>SUM(K10:L10)</f>
        <v>0</v>
      </c>
      <c r="F10" s="202">
        <f>'2. 규모산정(FP)'!G4</f>
        <v>0</v>
      </c>
      <c r="G10" s="202">
        <f>'2. 규모산정(FP)'!H4</f>
        <v>0</v>
      </c>
      <c r="H10" s="202">
        <f>'2. 규모산정(FP)'!I4</f>
        <v>0</v>
      </c>
      <c r="I10" s="202">
        <f>'2. 규모산정(FP)'!J4</f>
        <v>0</v>
      </c>
      <c r="J10" s="202">
        <f>'2. 규모산정(FP)'!K4</f>
        <v>0</v>
      </c>
      <c r="K10" s="202">
        <f>'2. 규모산정(FP)'!L4</f>
        <v>0</v>
      </c>
      <c r="L10" s="202">
        <f>'2. 규모산정(FP)'!M4</f>
        <v>0</v>
      </c>
      <c r="M10" s="198"/>
    </row>
    <row r="11" spans="2:19" ht="12" customHeight="1" x14ac:dyDescent="0.4">
      <c r="B11" s="200" t="s">
        <v>283</v>
      </c>
      <c r="C11" s="201">
        <f>SUM(D11:E11)</f>
        <v>0</v>
      </c>
      <c r="D11" s="202">
        <f>SUM(F11:J11)</f>
        <v>0</v>
      </c>
      <c r="E11" s="202">
        <f>SUM(K11:L11)</f>
        <v>0</v>
      </c>
      <c r="F11" s="202">
        <f>'2. 규모산정(FP)'!G5</f>
        <v>0</v>
      </c>
      <c r="G11" s="202">
        <f>'2. 규모산정(FP)'!H5</f>
        <v>0</v>
      </c>
      <c r="H11" s="202">
        <f>'2. 규모산정(FP)'!I5</f>
        <v>0</v>
      </c>
      <c r="I11" s="202">
        <f>'2. 규모산정(FP)'!J5</f>
        <v>0</v>
      </c>
      <c r="J11" s="202">
        <f>'2. 규모산정(FP)'!K5</f>
        <v>0</v>
      </c>
      <c r="K11" s="202">
        <f>'2. 규모산정(FP)'!L5</f>
        <v>0</v>
      </c>
      <c r="L11" s="202">
        <f>'2. 규모산정(FP)'!M5</f>
        <v>0</v>
      </c>
      <c r="M11" s="198"/>
    </row>
    <row r="12" spans="2:19" ht="12" customHeight="1" x14ac:dyDescent="0.4">
      <c r="B12" s="200" t="s">
        <v>313</v>
      </c>
      <c r="C12" s="201">
        <f>SUM(D12:E12)</f>
        <v>0</v>
      </c>
      <c r="D12" s="202">
        <f>SUM(F12:J12)</f>
        <v>0</v>
      </c>
      <c r="E12" s="202">
        <f>SUM(K12:L12)</f>
        <v>0</v>
      </c>
      <c r="F12" s="202">
        <f>'2. 규모산정(FP)'!G6</f>
        <v>0</v>
      </c>
      <c r="G12" s="202">
        <f>'2. 규모산정(FP)'!H6</f>
        <v>0</v>
      </c>
      <c r="H12" s="202">
        <f>'2. 규모산정(FP)'!I6</f>
        <v>0</v>
      </c>
      <c r="I12" s="202">
        <f>'2. 규모산정(FP)'!J6</f>
        <v>0</v>
      </c>
      <c r="J12" s="202">
        <f>'2. 규모산정(FP)'!K6</f>
        <v>0</v>
      </c>
      <c r="K12" s="202">
        <f>'2. 규모산정(FP)'!L6</f>
        <v>0</v>
      </c>
      <c r="L12" s="202">
        <f>'2. 규모산정(FP)'!M6</f>
        <v>0</v>
      </c>
      <c r="M12" s="198"/>
    </row>
    <row r="13" spans="2:19" ht="12" customHeight="1" x14ac:dyDescent="0.4">
      <c r="B13" s="204" t="s">
        <v>294</v>
      </c>
      <c r="C13" s="201">
        <f>SUM(C9:C12)</f>
        <v>31</v>
      </c>
      <c r="D13" s="205">
        <f>SUM(D9:D12)</f>
        <v>24</v>
      </c>
      <c r="E13" s="205">
        <f>SUM(E9:E12)</f>
        <v>7</v>
      </c>
      <c r="F13" s="205">
        <f>SUM(F9:F12)</f>
        <v>7</v>
      </c>
      <c r="G13" s="205">
        <f t="shared" ref="G13:J13" si="0">SUM(G9:G12)</f>
        <v>2</v>
      </c>
      <c r="H13" s="205">
        <f t="shared" si="0"/>
        <v>1</v>
      </c>
      <c r="I13" s="205">
        <f t="shared" si="0"/>
        <v>6</v>
      </c>
      <c r="J13" s="205">
        <f t="shared" si="0"/>
        <v>8</v>
      </c>
      <c r="K13" s="205">
        <f>SUM(K9:K12)</f>
        <v>6</v>
      </c>
      <c r="L13" s="205">
        <f>SUM(L9:L12)</f>
        <v>1</v>
      </c>
      <c r="M13" s="198"/>
    </row>
    <row r="14" spans="2:19" ht="6" customHeight="1" x14ac:dyDescent="0.4">
      <c r="M14" s="198"/>
    </row>
    <row r="15" spans="2:19" x14ac:dyDescent="0.4">
      <c r="B15" s="195" t="s">
        <v>314</v>
      </c>
      <c r="C15" s="196"/>
      <c r="D15" s="206">
        <f>C25</f>
        <v>152.80000000000001</v>
      </c>
      <c r="E15" s="207"/>
      <c r="F15" s="207"/>
      <c r="G15" s="207"/>
      <c r="H15" s="207"/>
      <c r="I15" s="207"/>
      <c r="J15" s="207"/>
      <c r="K15" s="207"/>
      <c r="L15" s="207"/>
      <c r="M15" s="207"/>
    </row>
    <row r="16" spans="2:19" ht="2.25" customHeight="1" x14ac:dyDescent="0.4">
      <c r="B16" s="195"/>
      <c r="C16" s="196"/>
      <c r="D16" s="207"/>
      <c r="E16" s="207"/>
      <c r="F16" s="207"/>
      <c r="G16" s="207"/>
      <c r="H16" s="207"/>
      <c r="I16" s="207"/>
      <c r="J16" s="207"/>
      <c r="K16" s="207"/>
      <c r="L16" s="207"/>
      <c r="M16" s="207"/>
    </row>
    <row r="17" spans="2:19" ht="12" customHeight="1" x14ac:dyDescent="0.4">
      <c r="B17" s="690" t="s">
        <v>32</v>
      </c>
      <c r="C17" s="691" t="s">
        <v>292</v>
      </c>
      <c r="D17" s="674" t="s">
        <v>305</v>
      </c>
      <c r="E17" s="675" t="s">
        <v>306</v>
      </c>
      <c r="F17" s="678" t="s">
        <v>293</v>
      </c>
      <c r="G17" s="679"/>
      <c r="H17" s="679"/>
      <c r="I17" s="679"/>
      <c r="J17" s="680"/>
      <c r="K17" s="681" t="s">
        <v>304</v>
      </c>
      <c r="L17" s="682"/>
      <c r="M17" s="198"/>
      <c r="O17" s="192">
        <v>478</v>
      </c>
    </row>
    <row r="18" spans="2:19" ht="12" customHeight="1" x14ac:dyDescent="0.4">
      <c r="B18" s="690"/>
      <c r="C18" s="692"/>
      <c r="D18" s="674"/>
      <c r="E18" s="676"/>
      <c r="F18" s="682" t="s">
        <v>307</v>
      </c>
      <c r="G18" s="682"/>
      <c r="H18" s="688"/>
      <c r="I18" s="687" t="s">
        <v>308</v>
      </c>
      <c r="J18" s="689" t="s">
        <v>309</v>
      </c>
      <c r="K18" s="687" t="s">
        <v>310</v>
      </c>
      <c r="L18" s="674" t="s">
        <v>311</v>
      </c>
      <c r="M18" s="198"/>
    </row>
    <row r="19" spans="2:19" x14ac:dyDescent="0.4">
      <c r="B19" s="690"/>
      <c r="C19" s="692"/>
      <c r="D19" s="674"/>
      <c r="E19" s="677"/>
      <c r="F19" s="208" t="s">
        <v>295</v>
      </c>
      <c r="G19" s="208" t="s">
        <v>249</v>
      </c>
      <c r="H19" s="209" t="s">
        <v>250</v>
      </c>
      <c r="I19" s="687"/>
      <c r="J19" s="689"/>
      <c r="K19" s="687"/>
      <c r="L19" s="674"/>
      <c r="M19" s="198"/>
    </row>
    <row r="20" spans="2:19" x14ac:dyDescent="0.4">
      <c r="B20" s="210" t="s">
        <v>315</v>
      </c>
      <c r="C20" s="693"/>
      <c r="D20" s="686" t="s">
        <v>303</v>
      </c>
      <c r="E20" s="687"/>
      <c r="F20" s="211">
        <v>4</v>
      </c>
      <c r="G20" s="211">
        <v>4</v>
      </c>
      <c r="H20" s="212">
        <v>4</v>
      </c>
      <c r="I20" s="213">
        <v>5.2</v>
      </c>
      <c r="J20" s="212">
        <v>3.9</v>
      </c>
      <c r="K20" s="213">
        <v>7.5</v>
      </c>
      <c r="L20" s="211">
        <v>5.4</v>
      </c>
      <c r="M20" s="198"/>
    </row>
    <row r="21" spans="2:19" x14ac:dyDescent="0.4">
      <c r="B21" s="200" t="s">
        <v>257</v>
      </c>
      <c r="C21" s="214">
        <f>SUM(D21:E21)</f>
        <v>152.80000000000001</v>
      </c>
      <c r="D21" s="215">
        <f>SUM(F21:J21)</f>
        <v>102.4</v>
      </c>
      <c r="E21" s="216">
        <f>SUM(K21:L21)</f>
        <v>50.4</v>
      </c>
      <c r="F21" s="217">
        <f t="shared" ref="F21:L21" si="1">F9*F20</f>
        <v>28</v>
      </c>
      <c r="G21" s="217">
        <f t="shared" si="1"/>
        <v>8</v>
      </c>
      <c r="H21" s="217">
        <f t="shared" si="1"/>
        <v>4</v>
      </c>
      <c r="I21" s="217">
        <f t="shared" si="1"/>
        <v>31.200000000000003</v>
      </c>
      <c r="J21" s="217">
        <f t="shared" si="1"/>
        <v>31.2</v>
      </c>
      <c r="K21" s="217">
        <f t="shared" si="1"/>
        <v>45</v>
      </c>
      <c r="L21" s="217">
        <f t="shared" si="1"/>
        <v>5.4</v>
      </c>
      <c r="M21" s="198"/>
    </row>
    <row r="22" spans="2:19" x14ac:dyDescent="0.4">
      <c r="B22" s="200" t="s">
        <v>312</v>
      </c>
      <c r="C22" s="214">
        <f>SUM(D22:E22)</f>
        <v>0</v>
      </c>
      <c r="D22" s="215">
        <f>SUM(F22:J22)</f>
        <v>0</v>
      </c>
      <c r="E22" s="216">
        <f>SUM(K22:L22)</f>
        <v>0</v>
      </c>
      <c r="F22" s="217">
        <f>F10*F20*'2. 규모산정(FP)'!$D$4</f>
        <v>0</v>
      </c>
      <c r="G22" s="217">
        <f>G10*G20*'2. 규모산정(FP)'!$D$4</f>
        <v>0</v>
      </c>
      <c r="H22" s="217">
        <f>H10*H20*'2. 규모산정(FP)'!$D$4</f>
        <v>0</v>
      </c>
      <c r="I22" s="217">
        <f>I10*I20*'2. 규모산정(FP)'!$D$4</f>
        <v>0</v>
      </c>
      <c r="J22" s="217">
        <f>J10*J20*'2. 규모산정(FP)'!$D$4</f>
        <v>0</v>
      </c>
      <c r="K22" s="217">
        <f>K10*K20*'2. 규모산정(FP)'!$D$4</f>
        <v>0</v>
      </c>
      <c r="L22" s="217">
        <f>L10*L20*'2. 규모산정(FP)'!$D$4</f>
        <v>0</v>
      </c>
      <c r="M22" s="198"/>
    </row>
    <row r="23" spans="2:19" x14ac:dyDescent="0.4">
      <c r="B23" s="200" t="s">
        <v>283</v>
      </c>
      <c r="C23" s="214">
        <f>SUM(D23:E23)</f>
        <v>0</v>
      </c>
      <c r="D23" s="215">
        <f>SUM(F23:J23)</f>
        <v>0</v>
      </c>
      <c r="E23" s="216">
        <f>SUM(K23:L23)</f>
        <v>0</v>
      </c>
      <c r="F23" s="217">
        <f>F11*F20*'2. 규모산정(FP)'!$D$5</f>
        <v>0</v>
      </c>
      <c r="G23" s="217">
        <f>G11*G20*'2. 규모산정(FP)'!$D$5</f>
        <v>0</v>
      </c>
      <c r="H23" s="217">
        <f>H11*H20*'2. 규모산정(FP)'!$D$5</f>
        <v>0</v>
      </c>
      <c r="I23" s="217">
        <f>I11*I20*'2. 규모산정(FP)'!$D$5</f>
        <v>0</v>
      </c>
      <c r="J23" s="217">
        <f>J11*J20*'2. 규모산정(FP)'!$D$5</f>
        <v>0</v>
      </c>
      <c r="K23" s="217">
        <f>K11*K20*'2. 규모산정(FP)'!$D$5</f>
        <v>0</v>
      </c>
      <c r="L23" s="217">
        <f>L11*L20*'2. 규모산정(FP)'!$D$5</f>
        <v>0</v>
      </c>
      <c r="M23" s="198"/>
    </row>
    <row r="24" spans="2:19" x14ac:dyDescent="0.4">
      <c r="B24" s="200" t="s">
        <v>313</v>
      </c>
      <c r="C24" s="214">
        <f>SUM(D24:E24)</f>
        <v>0</v>
      </c>
      <c r="D24" s="215">
        <f>SUM(F24:J24)</f>
        <v>0</v>
      </c>
      <c r="E24" s="216">
        <f>SUM(K24:L24)</f>
        <v>0</v>
      </c>
      <c r="F24" s="217">
        <f>F12*F20*'2. 규모산정(FP)'!$D$6</f>
        <v>0</v>
      </c>
      <c r="G24" s="217">
        <f>G12*G20*'2. 규모산정(FP)'!$D$6</f>
        <v>0</v>
      </c>
      <c r="H24" s="217">
        <f>H12*H20*'2. 규모산정(FP)'!$D$6</f>
        <v>0</v>
      </c>
      <c r="I24" s="217">
        <f>I12*I20*'2. 규모산정(FP)'!$D$6</f>
        <v>0</v>
      </c>
      <c r="J24" s="217">
        <f>J12*J20*'2. 규모산정(FP)'!$D$6</f>
        <v>0</v>
      </c>
      <c r="K24" s="217">
        <f>K12*K20*'2. 규모산정(FP)'!$D$6</f>
        <v>0</v>
      </c>
      <c r="L24" s="217">
        <f>L12*L20*'2. 규모산정(FP)'!$D$6</f>
        <v>0</v>
      </c>
      <c r="M24" s="198"/>
    </row>
    <row r="25" spans="2:19" x14ac:dyDescent="0.4">
      <c r="B25" s="204" t="s">
        <v>316</v>
      </c>
      <c r="C25" s="218">
        <f t="shared" ref="C25:L25" si="2">SUM(C21:C24)</f>
        <v>152.80000000000001</v>
      </c>
      <c r="D25" s="219">
        <f t="shared" si="2"/>
        <v>102.4</v>
      </c>
      <c r="E25" s="220">
        <f t="shared" si="2"/>
        <v>50.4</v>
      </c>
      <c r="F25" s="221">
        <f t="shared" si="2"/>
        <v>28</v>
      </c>
      <c r="G25" s="221">
        <f t="shared" si="2"/>
        <v>8</v>
      </c>
      <c r="H25" s="222">
        <f t="shared" si="2"/>
        <v>4</v>
      </c>
      <c r="I25" s="223">
        <f t="shared" si="2"/>
        <v>31.200000000000003</v>
      </c>
      <c r="J25" s="222">
        <f t="shared" si="2"/>
        <v>31.2</v>
      </c>
      <c r="K25" s="223">
        <f t="shared" si="2"/>
        <v>45</v>
      </c>
      <c r="L25" s="221">
        <f t="shared" si="2"/>
        <v>5.4</v>
      </c>
      <c r="M25" s="198"/>
    </row>
    <row r="26" spans="2:19" s="227" customFormat="1" x14ac:dyDescent="0.4">
      <c r="B26" s="224" t="s">
        <v>317</v>
      </c>
      <c r="C26" s="225">
        <f>(C24+C23+C22)/C25</f>
        <v>0</v>
      </c>
      <c r="D26" s="226"/>
      <c r="E26" s="226"/>
      <c r="F26" s="226"/>
      <c r="G26" s="226"/>
      <c r="H26" s="226"/>
      <c r="I26" s="226"/>
      <c r="J26" s="226"/>
      <c r="K26" s="226"/>
      <c r="L26" s="226"/>
      <c r="M26" s="226"/>
      <c r="S26" s="228"/>
    </row>
    <row r="27" spans="2:19" ht="6" customHeight="1" x14ac:dyDescent="0.4">
      <c r="M27" s="198"/>
    </row>
    <row r="28" spans="2:19" ht="12" customHeight="1" x14ac:dyDescent="0.4">
      <c r="B28" s="195" t="s">
        <v>318</v>
      </c>
      <c r="C28" s="196"/>
      <c r="D28" s="207"/>
      <c r="E28" s="197">
        <f>C36</f>
        <v>152.80000000000001</v>
      </c>
      <c r="F28" s="198"/>
      <c r="G28" s="198"/>
      <c r="H28" s="198"/>
      <c r="I28" s="198"/>
      <c r="J28" s="198"/>
      <c r="K28" s="198"/>
      <c r="L28" s="198"/>
      <c r="M28" s="198"/>
      <c r="O28" s="207"/>
      <c r="P28" s="207"/>
      <c r="Q28" s="207"/>
      <c r="R28" s="188"/>
    </row>
    <row r="29" spans="2:19" ht="13.5" customHeight="1" x14ac:dyDescent="0.4">
      <c r="B29" s="690" t="s">
        <v>32</v>
      </c>
      <c r="C29" s="691" t="s">
        <v>292</v>
      </c>
      <c r="D29" s="674" t="s">
        <v>305</v>
      </c>
      <c r="E29" s="675" t="s">
        <v>306</v>
      </c>
      <c r="F29" s="678" t="s">
        <v>293</v>
      </c>
      <c r="G29" s="679"/>
      <c r="H29" s="679"/>
      <c r="I29" s="679"/>
      <c r="J29" s="681"/>
      <c r="K29" s="682" t="s">
        <v>304</v>
      </c>
      <c r="L29" s="682"/>
      <c r="M29" s="198"/>
    </row>
    <row r="30" spans="2:19" ht="12" customHeight="1" x14ac:dyDescent="0.4">
      <c r="B30" s="690"/>
      <c r="C30" s="692"/>
      <c r="D30" s="674"/>
      <c r="E30" s="676"/>
      <c r="F30" s="682" t="s">
        <v>307</v>
      </c>
      <c r="G30" s="682"/>
      <c r="H30" s="682"/>
      <c r="I30" s="674" t="s">
        <v>308</v>
      </c>
      <c r="J30" s="674" t="s">
        <v>309</v>
      </c>
      <c r="K30" s="674" t="s">
        <v>310</v>
      </c>
      <c r="L30" s="674" t="s">
        <v>311</v>
      </c>
      <c r="M30" s="198"/>
    </row>
    <row r="31" spans="2:19" ht="12" customHeight="1" x14ac:dyDescent="0.4">
      <c r="B31" s="690"/>
      <c r="C31" s="692"/>
      <c r="D31" s="674"/>
      <c r="E31" s="677"/>
      <c r="F31" s="208" t="s">
        <v>295</v>
      </c>
      <c r="G31" s="208" t="s">
        <v>249</v>
      </c>
      <c r="H31" s="208" t="s">
        <v>250</v>
      </c>
      <c r="I31" s="674"/>
      <c r="J31" s="674"/>
      <c r="K31" s="674"/>
      <c r="L31" s="674"/>
      <c r="M31" s="198"/>
    </row>
    <row r="32" spans="2:19" ht="12" customHeight="1" x14ac:dyDescent="0.4">
      <c r="B32" s="210" t="s">
        <v>315</v>
      </c>
      <c r="C32" s="693"/>
      <c r="D32" s="686" t="s">
        <v>303</v>
      </c>
      <c r="E32" s="687"/>
      <c r="F32" s="211">
        <v>4</v>
      </c>
      <c r="G32" s="211">
        <v>4</v>
      </c>
      <c r="H32" s="212">
        <v>4</v>
      </c>
      <c r="I32" s="213">
        <v>5.2</v>
      </c>
      <c r="J32" s="212">
        <v>3.9</v>
      </c>
      <c r="K32" s="213">
        <v>7.5</v>
      </c>
      <c r="L32" s="211">
        <v>5.4</v>
      </c>
      <c r="M32" s="198"/>
      <c r="N32" s="203"/>
      <c r="S32" s="192"/>
    </row>
    <row r="33" spans="2:21" ht="12" customHeight="1" x14ac:dyDescent="0.4">
      <c r="B33" s="229" t="s">
        <v>319</v>
      </c>
      <c r="C33" s="230">
        <f>E26</f>
        <v>0</v>
      </c>
      <c r="D33" s="231"/>
      <c r="E33" s="232"/>
      <c r="F33" s="233">
        <f t="shared" ref="F33:L33" si="3">$C$33</f>
        <v>0</v>
      </c>
      <c r="G33" s="233">
        <f t="shared" si="3"/>
        <v>0</v>
      </c>
      <c r="H33" s="234">
        <f t="shared" si="3"/>
        <v>0</v>
      </c>
      <c r="I33" s="235">
        <f t="shared" si="3"/>
        <v>0</v>
      </c>
      <c r="J33" s="234">
        <f t="shared" si="3"/>
        <v>0</v>
      </c>
      <c r="K33" s="235">
        <f t="shared" si="3"/>
        <v>0</v>
      </c>
      <c r="L33" s="233">
        <f t="shared" si="3"/>
        <v>0</v>
      </c>
      <c r="M33" s="198"/>
      <c r="S33" s="192"/>
    </row>
    <row r="34" spans="2:21" ht="12" customHeight="1" x14ac:dyDescent="0.4">
      <c r="B34" s="200" t="s">
        <v>257</v>
      </c>
      <c r="C34" s="236">
        <f>SUM(D34:E34)</f>
        <v>152.80000000000001</v>
      </c>
      <c r="D34" s="237">
        <f>SUM(F34:J34)</f>
        <v>102.4</v>
      </c>
      <c r="E34" s="238">
        <f>SUM(K34:L34)</f>
        <v>50.4</v>
      </c>
      <c r="F34" s="239">
        <f t="shared" ref="F34:L34" si="4">F9*F32</f>
        <v>28</v>
      </c>
      <c r="G34" s="239">
        <f t="shared" si="4"/>
        <v>8</v>
      </c>
      <c r="H34" s="240">
        <f t="shared" si="4"/>
        <v>4</v>
      </c>
      <c r="I34" s="241">
        <f t="shared" si="4"/>
        <v>31.200000000000003</v>
      </c>
      <c r="J34" s="240">
        <f t="shared" si="4"/>
        <v>31.2</v>
      </c>
      <c r="K34" s="241">
        <f t="shared" si="4"/>
        <v>45</v>
      </c>
      <c r="L34" s="239">
        <f t="shared" si="4"/>
        <v>5.4</v>
      </c>
      <c r="M34" s="198"/>
    </row>
    <row r="35" spans="2:21" ht="12" customHeight="1" x14ac:dyDescent="0.4">
      <c r="B35" s="200" t="s">
        <v>285</v>
      </c>
      <c r="C35" s="236">
        <f>SUM(D35:E35)</f>
        <v>0</v>
      </c>
      <c r="D35" s="237">
        <f>SUM(F35:J35)</f>
        <v>0</v>
      </c>
      <c r="E35" s="238">
        <f>SUM(K35:L35)</f>
        <v>0</v>
      </c>
      <c r="F35" s="239">
        <f t="shared" ref="F35:L35" si="5">F12*F32*F33</f>
        <v>0</v>
      </c>
      <c r="G35" s="239">
        <f t="shared" si="5"/>
        <v>0</v>
      </c>
      <c r="H35" s="240">
        <f t="shared" si="5"/>
        <v>0</v>
      </c>
      <c r="I35" s="241">
        <f t="shared" si="5"/>
        <v>0</v>
      </c>
      <c r="J35" s="240">
        <f t="shared" si="5"/>
        <v>0</v>
      </c>
      <c r="K35" s="241">
        <f t="shared" si="5"/>
        <v>0</v>
      </c>
      <c r="L35" s="239">
        <f t="shared" si="5"/>
        <v>0</v>
      </c>
      <c r="M35" s="198"/>
    </row>
    <row r="36" spans="2:21" ht="12" customHeight="1" x14ac:dyDescent="0.4">
      <c r="B36" s="204" t="s">
        <v>316</v>
      </c>
      <c r="C36" s="242">
        <f t="shared" ref="C36:L36" si="6">SUM(C34:C35)</f>
        <v>152.80000000000001</v>
      </c>
      <c r="D36" s="243">
        <f t="shared" si="6"/>
        <v>102.4</v>
      </c>
      <c r="E36" s="244">
        <f t="shared" si="6"/>
        <v>50.4</v>
      </c>
      <c r="F36" s="205">
        <f t="shared" si="6"/>
        <v>28</v>
      </c>
      <c r="G36" s="205">
        <f t="shared" si="6"/>
        <v>8</v>
      </c>
      <c r="H36" s="245">
        <f t="shared" si="6"/>
        <v>4</v>
      </c>
      <c r="I36" s="246">
        <f t="shared" si="6"/>
        <v>31.200000000000003</v>
      </c>
      <c r="J36" s="245">
        <f t="shared" si="6"/>
        <v>31.2</v>
      </c>
      <c r="K36" s="246">
        <f t="shared" si="6"/>
        <v>45</v>
      </c>
      <c r="L36" s="205">
        <f t="shared" si="6"/>
        <v>5.4</v>
      </c>
      <c r="M36" s="198"/>
    </row>
    <row r="37" spans="2:21" ht="7.5" customHeight="1" x14ac:dyDescent="0.4">
      <c r="B37" s="188"/>
      <c r="C37" s="188"/>
      <c r="D37" s="188"/>
      <c r="E37" s="188"/>
      <c r="F37" s="188"/>
      <c r="G37" s="188"/>
      <c r="H37" s="188"/>
      <c r="I37" s="188"/>
      <c r="J37" s="188"/>
      <c r="K37" s="188"/>
      <c r="L37" s="188"/>
      <c r="M37" s="198"/>
      <c r="N37" s="188"/>
      <c r="O37" s="188"/>
      <c r="P37" s="188"/>
      <c r="Q37" s="188"/>
      <c r="R37" s="188"/>
    </row>
    <row r="38" spans="2:21" ht="15.75" customHeight="1" x14ac:dyDescent="0.4">
      <c r="B38" s="207" t="s">
        <v>320</v>
      </c>
      <c r="C38" s="207"/>
      <c r="D38" s="188"/>
      <c r="E38" s="188"/>
      <c r="F38" s="188"/>
      <c r="G38" s="188"/>
      <c r="H38" s="188"/>
      <c r="I38" s="188"/>
      <c r="J38" s="188"/>
      <c r="K38" s="188"/>
      <c r="L38" s="188"/>
      <c r="M38" s="188"/>
      <c r="N38" s="188"/>
      <c r="O38" s="188"/>
      <c r="P38" s="188"/>
      <c r="Q38" s="188"/>
      <c r="R38" s="188"/>
    </row>
    <row r="39" spans="2:21" ht="12" customHeight="1" x14ac:dyDescent="0.4">
      <c r="B39" s="690" t="s">
        <v>32</v>
      </c>
      <c r="C39" s="691" t="s">
        <v>292</v>
      </c>
      <c r="D39" s="674" t="s">
        <v>305</v>
      </c>
      <c r="E39" s="675" t="s">
        <v>306</v>
      </c>
      <c r="F39" s="678" t="s">
        <v>293</v>
      </c>
      <c r="G39" s="679"/>
      <c r="H39" s="679"/>
      <c r="I39" s="679"/>
      <c r="J39" s="681"/>
      <c r="K39" s="682" t="s">
        <v>304</v>
      </c>
      <c r="L39" s="682"/>
    </row>
    <row r="40" spans="2:21" ht="12" customHeight="1" x14ac:dyDescent="0.4">
      <c r="B40" s="690"/>
      <c r="C40" s="692"/>
      <c r="D40" s="674"/>
      <c r="E40" s="676"/>
      <c r="F40" s="682" t="s">
        <v>307</v>
      </c>
      <c r="G40" s="682"/>
      <c r="H40" s="688"/>
      <c r="I40" s="694" t="s">
        <v>308</v>
      </c>
      <c r="J40" s="689" t="s">
        <v>309</v>
      </c>
      <c r="K40" s="687" t="s">
        <v>310</v>
      </c>
      <c r="L40" s="674" t="s">
        <v>311</v>
      </c>
    </row>
    <row r="41" spans="2:21" ht="12" customHeight="1" x14ac:dyDescent="0.4">
      <c r="B41" s="690"/>
      <c r="C41" s="692"/>
      <c r="D41" s="674"/>
      <c r="E41" s="677"/>
      <c r="F41" s="208" t="s">
        <v>295</v>
      </c>
      <c r="G41" s="208" t="s">
        <v>249</v>
      </c>
      <c r="H41" s="209" t="s">
        <v>250</v>
      </c>
      <c r="I41" s="694"/>
      <c r="J41" s="689"/>
      <c r="K41" s="687"/>
      <c r="L41" s="674"/>
    </row>
    <row r="42" spans="2:21" ht="12" customHeight="1" x14ac:dyDescent="0.4">
      <c r="B42" s="210" t="s">
        <v>315</v>
      </c>
      <c r="C42" s="693"/>
      <c r="D42" s="686" t="s">
        <v>303</v>
      </c>
      <c r="E42" s="687"/>
      <c r="F42" s="211">
        <v>4</v>
      </c>
      <c r="G42" s="211">
        <v>4</v>
      </c>
      <c r="H42" s="212">
        <v>4</v>
      </c>
      <c r="I42" s="247">
        <v>5.2</v>
      </c>
      <c r="J42" s="212">
        <v>3.9</v>
      </c>
      <c r="K42" s="213">
        <v>7.5</v>
      </c>
      <c r="L42" s="211">
        <v>5.4</v>
      </c>
    </row>
    <row r="43" spans="2:21" ht="13.5" customHeight="1" x14ac:dyDescent="0.4">
      <c r="B43" s="229" t="s">
        <v>319</v>
      </c>
      <c r="C43" s="248">
        <v>0.15</v>
      </c>
      <c r="D43" s="249"/>
      <c r="E43" s="250"/>
      <c r="F43" s="233">
        <f t="shared" ref="F43:L43" si="7">$C$43</f>
        <v>0.15</v>
      </c>
      <c r="G43" s="233">
        <f t="shared" si="7"/>
        <v>0.15</v>
      </c>
      <c r="H43" s="234">
        <f t="shared" si="7"/>
        <v>0.15</v>
      </c>
      <c r="I43" s="251">
        <f t="shared" si="7"/>
        <v>0.15</v>
      </c>
      <c r="J43" s="234">
        <f t="shared" si="7"/>
        <v>0.15</v>
      </c>
      <c r="K43" s="235">
        <f t="shared" si="7"/>
        <v>0.15</v>
      </c>
      <c r="L43" s="233">
        <f t="shared" si="7"/>
        <v>0.15</v>
      </c>
    </row>
    <row r="44" spans="2:21" ht="12" customHeight="1" x14ac:dyDescent="0.4">
      <c r="B44" s="200" t="s">
        <v>285</v>
      </c>
      <c r="C44" s="236">
        <f>IF(SUM(D44,E44)=0, 0.1, SUM(D44,E44) )</f>
        <v>0.1</v>
      </c>
      <c r="D44" s="252">
        <f>SUM(K44:L44)</f>
        <v>0</v>
      </c>
      <c r="E44" s="252">
        <f>SUM(F44:J44)</f>
        <v>0</v>
      </c>
      <c r="F44" s="253">
        <f t="shared" ref="F44:L44" si="8">F12*F42*F43</f>
        <v>0</v>
      </c>
      <c r="G44" s="253">
        <f t="shared" si="8"/>
        <v>0</v>
      </c>
      <c r="H44" s="254">
        <f t="shared" si="8"/>
        <v>0</v>
      </c>
      <c r="I44" s="255">
        <f t="shared" si="8"/>
        <v>0</v>
      </c>
      <c r="J44" s="254">
        <f t="shared" si="8"/>
        <v>0</v>
      </c>
      <c r="K44" s="255">
        <f t="shared" si="8"/>
        <v>0</v>
      </c>
      <c r="L44" s="253">
        <f t="shared" si="8"/>
        <v>0</v>
      </c>
    </row>
    <row r="45" spans="2:21" ht="9" customHeight="1" x14ac:dyDescent="0.4"/>
    <row r="46" spans="2:21" ht="12.75" customHeight="1" x14ac:dyDescent="0.4">
      <c r="B46" s="195" t="s">
        <v>321</v>
      </c>
      <c r="C46" s="196"/>
      <c r="D46" s="195"/>
      <c r="E46" s="195"/>
      <c r="F46" s="195"/>
      <c r="G46" s="195"/>
      <c r="H46" s="195"/>
      <c r="I46" s="195"/>
      <c r="J46" s="195"/>
      <c r="K46" s="195"/>
      <c r="L46" s="195"/>
      <c r="M46" s="256"/>
      <c r="R46" s="256"/>
    </row>
    <row r="47" spans="2:21" s="194" customFormat="1" x14ac:dyDescent="0.4">
      <c r="B47" s="705" t="s">
        <v>32</v>
      </c>
      <c r="C47" s="706"/>
      <c r="D47" s="706"/>
      <c r="E47" s="707"/>
      <c r="F47" s="257" t="s">
        <v>292</v>
      </c>
      <c r="G47" s="257" t="s">
        <v>296</v>
      </c>
      <c r="H47" s="257" t="s">
        <v>297</v>
      </c>
      <c r="I47" s="257" t="s">
        <v>298</v>
      </c>
      <c r="J47" s="257" t="s">
        <v>299</v>
      </c>
      <c r="K47" s="195"/>
      <c r="L47" s="195"/>
      <c r="M47" s="258"/>
      <c r="N47" s="195"/>
      <c r="O47" s="195"/>
      <c r="P47" s="195"/>
      <c r="Q47" s="259"/>
      <c r="R47" s="260"/>
      <c r="S47" s="260"/>
      <c r="T47" s="261"/>
      <c r="U47" s="260"/>
    </row>
    <row r="48" spans="2:21" x14ac:dyDescent="0.4">
      <c r="B48" s="708" t="s">
        <v>300</v>
      </c>
      <c r="C48" s="709"/>
      <c r="D48" s="709"/>
      <c r="E48" s="710"/>
      <c r="F48" s="262">
        <f>SUM(G48:J48)</f>
        <v>605784</v>
      </c>
      <c r="G48" s="263">
        <v>115099</v>
      </c>
      <c r="H48" s="263">
        <v>145388</v>
      </c>
      <c r="I48" s="263">
        <v>193851</v>
      </c>
      <c r="J48" s="263">
        <v>151446</v>
      </c>
      <c r="K48" s="264"/>
      <c r="L48" s="195"/>
      <c r="N48" s="195"/>
      <c r="O48" s="195"/>
      <c r="P48" s="195"/>
      <c r="Q48" s="265"/>
      <c r="R48" s="266"/>
      <c r="S48" s="267"/>
      <c r="T48" s="266"/>
      <c r="U48" s="266"/>
    </row>
    <row r="49" spans="2:21" ht="12" customHeight="1" x14ac:dyDescent="0.4">
      <c r="B49" s="695" t="s">
        <v>322</v>
      </c>
      <c r="C49" s="696"/>
      <c r="D49" s="696"/>
      <c r="E49" s="697"/>
      <c r="F49" s="268">
        <f>C25</f>
        <v>152.80000000000001</v>
      </c>
      <c r="G49" s="269">
        <f>G48/F48</f>
        <v>0.19000006603013617</v>
      </c>
      <c r="H49" s="269">
        <f>H48/F48</f>
        <v>0.23999973587945539</v>
      </c>
      <c r="I49" s="269">
        <f>I48/F48</f>
        <v>0.32000019809040847</v>
      </c>
      <c r="J49" s="269">
        <f>J48/F48</f>
        <v>0.25</v>
      </c>
      <c r="K49" s="258"/>
      <c r="L49" s="270"/>
      <c r="M49" s="195"/>
      <c r="N49" s="195"/>
      <c r="O49" s="195"/>
      <c r="P49" s="195"/>
      <c r="Q49" s="271"/>
      <c r="R49" s="266"/>
      <c r="S49" s="267"/>
      <c r="T49" s="266"/>
      <c r="U49" s="266"/>
    </row>
    <row r="50" spans="2:21" ht="13.5" customHeight="1" x14ac:dyDescent="0.4">
      <c r="B50" s="698" t="s">
        <v>323</v>
      </c>
      <c r="C50" s="699"/>
      <c r="D50" s="699"/>
      <c r="E50" s="700"/>
      <c r="F50" s="272">
        <f>(19*G50)+(24*H50)+(32*I50)+(25*J50)</f>
        <v>10</v>
      </c>
      <c r="G50" s="273">
        <f>'1.필수작성'!G31</f>
        <v>0.1</v>
      </c>
      <c r="H50" s="273">
        <f>'1.필수작성'!G32</f>
        <v>0.1</v>
      </c>
      <c r="I50" s="273">
        <f>'1.필수작성'!G33</f>
        <v>0.1</v>
      </c>
      <c r="J50" s="273">
        <f>'1.필수작성'!G34</f>
        <v>0.1</v>
      </c>
      <c r="K50" s="195"/>
      <c r="L50" s="274"/>
      <c r="M50" s="195"/>
      <c r="N50" s="195"/>
      <c r="O50" s="195"/>
      <c r="P50" s="195"/>
    </row>
    <row r="51" spans="2:21" x14ac:dyDescent="0.4">
      <c r="B51" s="698" t="s">
        <v>324</v>
      </c>
      <c r="C51" s="699"/>
      <c r="D51" s="699"/>
      <c r="E51" s="700"/>
      <c r="F51" s="275">
        <f>(19*G51)+(24*H51)+(32*I51)+(25*J51)</f>
        <v>90</v>
      </c>
      <c r="G51" s="276">
        <f>1-G50</f>
        <v>0.9</v>
      </c>
      <c r="H51" s="276">
        <f t="shared" ref="H51:J51" si="9">1-H50</f>
        <v>0.9</v>
      </c>
      <c r="I51" s="276">
        <f t="shared" si="9"/>
        <v>0.9</v>
      </c>
      <c r="J51" s="276">
        <f t="shared" si="9"/>
        <v>0.9</v>
      </c>
      <c r="K51" s="195"/>
      <c r="L51" s="274"/>
      <c r="M51" s="195"/>
      <c r="N51" s="195"/>
      <c r="O51" s="195"/>
      <c r="P51" s="195"/>
      <c r="S51" s="192"/>
    </row>
    <row r="52" spans="2:21" ht="6.75" customHeight="1" x14ac:dyDescent="0.4">
      <c r="B52" s="701"/>
      <c r="C52" s="701"/>
      <c r="D52" s="701"/>
      <c r="E52" s="701"/>
      <c r="F52" s="701"/>
      <c r="G52" s="277"/>
      <c r="H52" s="277"/>
      <c r="I52" s="277"/>
      <c r="J52" s="277"/>
      <c r="K52" s="195"/>
      <c r="L52" s="195"/>
      <c r="M52" s="195"/>
      <c r="N52" s="195"/>
      <c r="O52" s="195"/>
      <c r="P52" s="195"/>
      <c r="Q52" s="278"/>
    </row>
    <row r="53" spans="2:21" ht="12.75" hidden="1" customHeight="1" thickBot="1" x14ac:dyDescent="0.45">
      <c r="B53" s="195" t="s">
        <v>325</v>
      </c>
      <c r="C53" s="195"/>
      <c r="D53" s="195"/>
      <c r="E53" s="195"/>
      <c r="F53" s="195"/>
      <c r="G53" s="195"/>
      <c r="H53" s="195"/>
      <c r="I53" s="195"/>
      <c r="J53" s="195"/>
      <c r="K53" s="195"/>
      <c r="L53" s="195"/>
      <c r="M53" s="195"/>
      <c r="N53" s="195"/>
      <c r="O53" s="195"/>
      <c r="P53" s="195"/>
      <c r="Q53" s="195"/>
      <c r="R53" s="195"/>
    </row>
    <row r="54" spans="2:21" s="194" customFormat="1" ht="12" hidden="1" customHeight="1" x14ac:dyDescent="0.4">
      <c r="B54" s="279" t="s">
        <v>32</v>
      </c>
      <c r="C54" s="702" t="s">
        <v>326</v>
      </c>
      <c r="D54" s="703"/>
      <c r="E54" s="704" t="s">
        <v>292</v>
      </c>
      <c r="F54" s="704"/>
      <c r="G54" s="704" t="s">
        <v>296</v>
      </c>
      <c r="H54" s="704"/>
      <c r="I54" s="704" t="s">
        <v>297</v>
      </c>
      <c r="J54" s="704"/>
      <c r="K54" s="704" t="s">
        <v>298</v>
      </c>
      <c r="L54" s="704"/>
      <c r="M54" s="704" t="s">
        <v>299</v>
      </c>
      <c r="N54" s="711"/>
      <c r="R54" s="280"/>
    </row>
    <row r="55" spans="2:21" ht="12" hidden="1" customHeight="1" x14ac:dyDescent="0.4">
      <c r="B55" s="712" t="s">
        <v>327</v>
      </c>
      <c r="C55" s="715" t="s">
        <v>328</v>
      </c>
      <c r="D55" s="716"/>
      <c r="E55" s="717">
        <f>F49*F48</f>
        <v>92563795.200000003</v>
      </c>
      <c r="F55" s="717"/>
      <c r="G55" s="718">
        <f>E55*G49</f>
        <v>17587127.200000003</v>
      </c>
      <c r="H55" s="718"/>
      <c r="I55" s="718">
        <f>E55*H49</f>
        <v>22215286.400000002</v>
      </c>
      <c r="J55" s="718"/>
      <c r="K55" s="718">
        <f>E55*I49</f>
        <v>29620432.800000001</v>
      </c>
      <c r="L55" s="718"/>
      <c r="M55" s="718">
        <f>E55*J49</f>
        <v>23140948.800000001</v>
      </c>
      <c r="N55" s="724"/>
      <c r="R55" s="280"/>
      <c r="T55" s="281"/>
    </row>
    <row r="56" spans="2:21" ht="12" hidden="1" customHeight="1" x14ac:dyDescent="0.4">
      <c r="B56" s="713"/>
      <c r="C56" s="715" t="s">
        <v>329</v>
      </c>
      <c r="D56" s="716"/>
      <c r="E56" s="717">
        <f>SUM(G56:N56)</f>
        <v>9256379.5200000014</v>
      </c>
      <c r="F56" s="717"/>
      <c r="G56" s="718">
        <f>G55*G50</f>
        <v>1758712.7200000004</v>
      </c>
      <c r="H56" s="718"/>
      <c r="I56" s="718">
        <f>I55*H50</f>
        <v>2221528.64</v>
      </c>
      <c r="J56" s="718"/>
      <c r="K56" s="718">
        <f>K55*I50</f>
        <v>2962043.2800000003</v>
      </c>
      <c r="L56" s="718"/>
      <c r="M56" s="718">
        <f>M55*J50</f>
        <v>2314094.8800000004</v>
      </c>
      <c r="N56" s="724"/>
      <c r="R56" s="280"/>
      <c r="T56" s="281"/>
    </row>
    <row r="57" spans="2:21" ht="12.75" hidden="1" customHeight="1" thickBot="1" x14ac:dyDescent="0.45">
      <c r="B57" s="714"/>
      <c r="C57" s="719" t="s">
        <v>330</v>
      </c>
      <c r="D57" s="720"/>
      <c r="E57" s="721">
        <f>E55-E56</f>
        <v>83307415.680000007</v>
      </c>
      <c r="F57" s="721"/>
      <c r="G57" s="722">
        <f t="shared" ref="G57" si="10">G55-G56</f>
        <v>15828414.480000002</v>
      </c>
      <c r="H57" s="722"/>
      <c r="I57" s="722">
        <f t="shared" ref="I57" si="11">I55-I56</f>
        <v>19993757.760000002</v>
      </c>
      <c r="J57" s="722"/>
      <c r="K57" s="722">
        <f t="shared" ref="K57" si="12">K55-K56</f>
        <v>26658389.52</v>
      </c>
      <c r="L57" s="722"/>
      <c r="M57" s="722">
        <f t="shared" ref="M57" si="13">M55-M56</f>
        <v>20826853.920000002</v>
      </c>
      <c r="N57" s="723"/>
      <c r="P57" s="282"/>
      <c r="R57" s="280"/>
      <c r="T57" s="281"/>
    </row>
    <row r="58" spans="2:21" s="194" customFormat="1" ht="13.5" hidden="1" customHeight="1" x14ac:dyDescent="0.35">
      <c r="B58" s="725" t="s">
        <v>331</v>
      </c>
      <c r="C58" s="728" t="s">
        <v>332</v>
      </c>
      <c r="D58" s="729"/>
      <c r="E58" s="730" t="s">
        <v>333</v>
      </c>
      <c r="F58" s="731"/>
      <c r="G58" s="736">
        <f>'3_1.산정식'!C10</f>
        <v>1.28</v>
      </c>
      <c r="H58" s="736"/>
      <c r="I58" s="736">
        <f>G58</f>
        <v>1.28</v>
      </c>
      <c r="J58" s="736"/>
      <c r="K58" s="736">
        <f>G58</f>
        <v>1.28</v>
      </c>
      <c r="L58" s="736"/>
      <c r="M58" s="736">
        <f>G58</f>
        <v>1.28</v>
      </c>
      <c r="N58" s="743"/>
      <c r="R58" s="280"/>
    </row>
    <row r="59" spans="2:21" s="194" customFormat="1" ht="15.6" hidden="1" x14ac:dyDescent="0.35">
      <c r="B59" s="726"/>
      <c r="C59" s="737" t="s">
        <v>334</v>
      </c>
      <c r="D59" s="738"/>
      <c r="E59" s="732"/>
      <c r="F59" s="733"/>
      <c r="G59" s="739">
        <v>1</v>
      </c>
      <c r="H59" s="739"/>
      <c r="I59" s="739">
        <f>G59</f>
        <v>1</v>
      </c>
      <c r="J59" s="739"/>
      <c r="K59" s="739">
        <f>G59</f>
        <v>1</v>
      </c>
      <c r="L59" s="739"/>
      <c r="M59" s="739">
        <f>G59</f>
        <v>1</v>
      </c>
      <c r="N59" s="739"/>
      <c r="R59" s="280"/>
    </row>
    <row r="60" spans="2:21" s="194" customFormat="1" ht="15.6" hidden="1" x14ac:dyDescent="0.35">
      <c r="B60" s="726"/>
      <c r="C60" s="737" t="s">
        <v>335</v>
      </c>
      <c r="D60" s="738"/>
      <c r="E60" s="732"/>
      <c r="F60" s="733"/>
      <c r="G60" s="739">
        <f>'3_1.산정식'!C23</f>
        <v>1</v>
      </c>
      <c r="H60" s="739"/>
      <c r="I60" s="739">
        <f t="shared" ref="I60:I62" si="14">G60</f>
        <v>1</v>
      </c>
      <c r="J60" s="739"/>
      <c r="K60" s="739">
        <f t="shared" ref="K60:K62" si="15">G60</f>
        <v>1</v>
      </c>
      <c r="L60" s="739"/>
      <c r="M60" s="739">
        <f t="shared" ref="M60:M62" si="16">G60</f>
        <v>1</v>
      </c>
      <c r="N60" s="739"/>
      <c r="R60" s="280"/>
    </row>
    <row r="61" spans="2:21" s="194" customFormat="1" ht="15.6" hidden="1" x14ac:dyDescent="0.35">
      <c r="B61" s="726"/>
      <c r="C61" s="737" t="s">
        <v>336</v>
      </c>
      <c r="D61" s="738"/>
      <c r="E61" s="732"/>
      <c r="F61" s="733"/>
      <c r="G61" s="739">
        <f>'3_1.산정식'!C29</f>
        <v>1</v>
      </c>
      <c r="H61" s="739"/>
      <c r="I61" s="739">
        <f t="shared" si="14"/>
        <v>1</v>
      </c>
      <c r="J61" s="739"/>
      <c r="K61" s="739">
        <f t="shared" si="15"/>
        <v>1</v>
      </c>
      <c r="L61" s="739"/>
      <c r="M61" s="739">
        <f t="shared" si="16"/>
        <v>1</v>
      </c>
      <c r="N61" s="739"/>
      <c r="R61" s="280"/>
    </row>
    <row r="62" spans="2:21" s="194" customFormat="1" ht="15.6" hidden="1" x14ac:dyDescent="0.35">
      <c r="B62" s="726"/>
      <c r="C62" s="737" t="s">
        <v>337</v>
      </c>
      <c r="D62" s="738"/>
      <c r="E62" s="734"/>
      <c r="F62" s="735"/>
      <c r="G62" s="739">
        <f>'3_1.산정식'!C35</f>
        <v>1</v>
      </c>
      <c r="H62" s="739"/>
      <c r="I62" s="739">
        <f t="shared" si="14"/>
        <v>1</v>
      </c>
      <c r="J62" s="739"/>
      <c r="K62" s="739">
        <f t="shared" si="15"/>
        <v>1</v>
      </c>
      <c r="L62" s="739"/>
      <c r="M62" s="739">
        <f t="shared" si="16"/>
        <v>1</v>
      </c>
      <c r="N62" s="739"/>
      <c r="R62" s="280"/>
    </row>
    <row r="63" spans="2:21" s="228" customFormat="1" ht="13.5" hidden="1" customHeight="1" x14ac:dyDescent="0.35">
      <c r="B63" s="726"/>
      <c r="C63" s="749" t="s">
        <v>333</v>
      </c>
      <c r="D63" s="750"/>
      <c r="E63" s="751" t="s">
        <v>338</v>
      </c>
      <c r="F63" s="752"/>
      <c r="G63" s="744">
        <f>IF((G58*G59*G60*G61*G62)&gt;1.35,1.35,(G58*G59*G60*G61*G62))</f>
        <v>1.28</v>
      </c>
      <c r="H63" s="744"/>
      <c r="I63" s="744">
        <f>IF((I58*I59*I60*I61*I62)&gt;1.35,1.35,(I58*I59*I60*I61*I62))</f>
        <v>1.28</v>
      </c>
      <c r="J63" s="744"/>
      <c r="K63" s="744">
        <f>IF((K58*K59*K60*K62)&gt;1.35,1.35,(K58*K59*K60*K62))</f>
        <v>1.28</v>
      </c>
      <c r="L63" s="744"/>
      <c r="M63" s="744">
        <f>IF((M58*M59*M60*M62)&gt;1.35,1.35,(M58*M59*M60*M62))</f>
        <v>1.28</v>
      </c>
      <c r="N63" s="745"/>
      <c r="P63" s="283"/>
      <c r="R63" s="284"/>
    </row>
    <row r="64" spans="2:21" ht="13.5" hidden="1" customHeight="1" x14ac:dyDescent="0.4">
      <c r="B64" s="726"/>
      <c r="C64" s="715" t="s">
        <v>339</v>
      </c>
      <c r="D64" s="716"/>
      <c r="E64" s="746">
        <f>G64+I64+K64+M64</f>
        <v>118481655</v>
      </c>
      <c r="F64" s="746"/>
      <c r="G64" s="747">
        <f>ROUNDDOWN(G55*G63,0)</f>
        <v>22511522</v>
      </c>
      <c r="H64" s="747"/>
      <c r="I64" s="747">
        <f>ROUNDDOWN(I55*I63,0)</f>
        <v>28435566</v>
      </c>
      <c r="J64" s="747"/>
      <c r="K64" s="747">
        <f>ROUNDDOWN(K55*K63,0)</f>
        <v>37914153</v>
      </c>
      <c r="L64" s="747"/>
      <c r="M64" s="747">
        <f>ROUNDDOWN(M55*M63,0)</f>
        <v>29620414</v>
      </c>
      <c r="N64" s="748"/>
      <c r="R64" s="280"/>
    </row>
    <row r="65" spans="2:22" ht="13.5" hidden="1" customHeight="1" x14ac:dyDescent="0.4">
      <c r="B65" s="726"/>
      <c r="C65" s="755" t="s">
        <v>340</v>
      </c>
      <c r="D65" s="755"/>
      <c r="E65" s="746">
        <f>G65+I65+K65+M65</f>
        <v>11848164</v>
      </c>
      <c r="F65" s="746"/>
      <c r="G65" s="747">
        <f>ROUNDDOWN(G56*G63,0)</f>
        <v>2251152</v>
      </c>
      <c r="H65" s="747"/>
      <c r="I65" s="747">
        <f>ROUNDDOWN(I56*I63,0)</f>
        <v>2843556</v>
      </c>
      <c r="J65" s="747"/>
      <c r="K65" s="747">
        <f>ROUNDDOWN(K56*K63,0)</f>
        <v>3791415</v>
      </c>
      <c r="L65" s="747"/>
      <c r="M65" s="747">
        <f>ROUNDDOWN(M56*M63,0)</f>
        <v>2962041</v>
      </c>
      <c r="N65" s="748"/>
      <c r="R65" s="280"/>
    </row>
    <row r="66" spans="2:22" ht="14.25" hidden="1" customHeight="1" thickBot="1" x14ac:dyDescent="0.45">
      <c r="B66" s="727"/>
      <c r="C66" s="740" t="s">
        <v>330</v>
      </c>
      <c r="D66" s="740"/>
      <c r="E66" s="741">
        <f>(G66+I66+K66+M66)</f>
        <v>106633490</v>
      </c>
      <c r="F66" s="741"/>
      <c r="G66" s="742">
        <f>ROUNDDOWN(G57*G63,0)</f>
        <v>20260370</v>
      </c>
      <c r="H66" s="742"/>
      <c r="I66" s="742">
        <f>ROUNDDOWN(I57*I63,0)</f>
        <v>25592009</v>
      </c>
      <c r="J66" s="742"/>
      <c r="K66" s="742">
        <f>ROUNDDOWN(K57*K63,0)</f>
        <v>34122738</v>
      </c>
      <c r="L66" s="742"/>
      <c r="M66" s="742">
        <f>ROUNDDOWN(M57*M63,0)</f>
        <v>26658373</v>
      </c>
      <c r="N66" s="754"/>
      <c r="R66" s="280"/>
      <c r="T66" s="256"/>
    </row>
    <row r="67" spans="2:22" s="194" customFormat="1" ht="13.5" hidden="1" customHeight="1" x14ac:dyDescent="0.35">
      <c r="B67" s="725" t="s">
        <v>341</v>
      </c>
      <c r="C67" s="728" t="s">
        <v>332</v>
      </c>
      <c r="D67" s="729"/>
      <c r="E67" s="730" t="s">
        <v>333</v>
      </c>
      <c r="F67" s="731"/>
      <c r="G67" s="736">
        <f>IF('3_1.산정식'!C10&gt;=128, 1.28, '3_1.산정식'!C10)</f>
        <v>1.28</v>
      </c>
      <c r="H67" s="736"/>
      <c r="I67" s="736">
        <f>G67</f>
        <v>1.28</v>
      </c>
      <c r="J67" s="736"/>
      <c r="K67" s="736">
        <f>G67</f>
        <v>1.28</v>
      </c>
      <c r="L67" s="736"/>
      <c r="M67" s="736">
        <f>G67</f>
        <v>1.28</v>
      </c>
      <c r="N67" s="743"/>
      <c r="O67" s="285"/>
      <c r="R67" s="280"/>
    </row>
    <row r="68" spans="2:22" s="194" customFormat="1" ht="15.6" hidden="1" x14ac:dyDescent="0.35">
      <c r="B68" s="726"/>
      <c r="C68" s="737" t="s">
        <v>334</v>
      </c>
      <c r="D68" s="738"/>
      <c r="E68" s="732"/>
      <c r="F68" s="733"/>
      <c r="G68" s="739">
        <f>'3_1.산정식'!C17</f>
        <v>0.88212041884816761</v>
      </c>
      <c r="H68" s="739"/>
      <c r="I68" s="739">
        <f>G68</f>
        <v>0.88212041884816761</v>
      </c>
      <c r="J68" s="739"/>
      <c r="K68" s="739">
        <f>G68</f>
        <v>0.88212041884816761</v>
      </c>
      <c r="L68" s="739"/>
      <c r="M68" s="739">
        <f>G68</f>
        <v>0.88212041884816761</v>
      </c>
      <c r="N68" s="753"/>
      <c r="O68" s="285"/>
      <c r="R68" s="280"/>
    </row>
    <row r="69" spans="2:22" s="194" customFormat="1" ht="15.6" hidden="1" x14ac:dyDescent="0.35">
      <c r="B69" s="726"/>
      <c r="C69" s="737" t="s">
        <v>335</v>
      </c>
      <c r="D69" s="738"/>
      <c r="E69" s="732"/>
      <c r="F69" s="733"/>
      <c r="G69" s="757">
        <f>G60</f>
        <v>1</v>
      </c>
      <c r="H69" s="758"/>
      <c r="I69" s="739">
        <f>G69</f>
        <v>1</v>
      </c>
      <c r="J69" s="739"/>
      <c r="K69" s="739">
        <f>G69</f>
        <v>1</v>
      </c>
      <c r="L69" s="739"/>
      <c r="M69" s="739">
        <f>G69</f>
        <v>1</v>
      </c>
      <c r="N69" s="753"/>
      <c r="O69" s="285"/>
      <c r="R69" s="280"/>
    </row>
    <row r="70" spans="2:22" s="194" customFormat="1" ht="15.6" hidden="1" x14ac:dyDescent="0.35">
      <c r="B70" s="726"/>
      <c r="C70" s="756" t="s">
        <v>336</v>
      </c>
      <c r="D70" s="737"/>
      <c r="E70" s="732"/>
      <c r="F70" s="733"/>
      <c r="G70" s="757">
        <f>G61</f>
        <v>1</v>
      </c>
      <c r="H70" s="758"/>
      <c r="I70" s="757">
        <f>G70</f>
        <v>1</v>
      </c>
      <c r="J70" s="758"/>
      <c r="K70" s="757">
        <f>G70</f>
        <v>1</v>
      </c>
      <c r="L70" s="758"/>
      <c r="M70" s="757">
        <f>G70</f>
        <v>1</v>
      </c>
      <c r="N70" s="759"/>
      <c r="O70" s="285"/>
      <c r="R70" s="280"/>
    </row>
    <row r="71" spans="2:22" s="194" customFormat="1" ht="15.6" hidden="1" x14ac:dyDescent="0.35">
      <c r="B71" s="726"/>
      <c r="C71" s="737" t="s">
        <v>337</v>
      </c>
      <c r="D71" s="738"/>
      <c r="E71" s="734"/>
      <c r="F71" s="735"/>
      <c r="G71" s="757">
        <f>G62</f>
        <v>1</v>
      </c>
      <c r="H71" s="758"/>
      <c r="I71" s="739">
        <f>G71</f>
        <v>1</v>
      </c>
      <c r="J71" s="739"/>
      <c r="K71" s="739">
        <f>G71</f>
        <v>1</v>
      </c>
      <c r="L71" s="739"/>
      <c r="M71" s="739">
        <f>G71</f>
        <v>1</v>
      </c>
      <c r="N71" s="753"/>
      <c r="O71" s="285"/>
      <c r="R71" s="280"/>
    </row>
    <row r="72" spans="2:22" s="194" customFormat="1" ht="13.5" hidden="1" customHeight="1" x14ac:dyDescent="0.35">
      <c r="B72" s="726"/>
      <c r="C72" s="737" t="s">
        <v>333</v>
      </c>
      <c r="D72" s="738"/>
      <c r="E72" s="763" t="s">
        <v>338</v>
      </c>
      <c r="F72" s="764"/>
      <c r="G72" s="760">
        <f>G67*G68*G69*G70*G71</f>
        <v>1.1291141361256545</v>
      </c>
      <c r="H72" s="761"/>
      <c r="I72" s="760">
        <f t="shared" ref="I72" si="17">I67*I68*I69*I70*I71</f>
        <v>1.1291141361256545</v>
      </c>
      <c r="J72" s="761"/>
      <c r="K72" s="760">
        <f t="shared" ref="K72" si="18">K67*K68*K69*K70*K71</f>
        <v>1.1291141361256545</v>
      </c>
      <c r="L72" s="761"/>
      <c r="M72" s="760">
        <f t="shared" ref="M72" si="19">M67*M68*M69*M70*M71</f>
        <v>1.1291141361256545</v>
      </c>
      <c r="N72" s="761"/>
      <c r="R72" s="280"/>
    </row>
    <row r="73" spans="2:22" s="194" customFormat="1" ht="13.5" hidden="1" customHeight="1" x14ac:dyDescent="0.4">
      <c r="B73" s="726"/>
      <c r="C73" s="715" t="s">
        <v>339</v>
      </c>
      <c r="D73" s="716"/>
      <c r="E73" s="746">
        <f>G73+I73+K73+M73</f>
        <v>104515087</v>
      </c>
      <c r="F73" s="746"/>
      <c r="G73" s="747">
        <f>ROUNDDOWN(G55*G72,0)</f>
        <v>19857873</v>
      </c>
      <c r="H73" s="747"/>
      <c r="I73" s="747">
        <f t="shared" ref="I73" si="20">ROUNDDOWN(I55*I72,0)</f>
        <v>25083593</v>
      </c>
      <c r="J73" s="747"/>
      <c r="K73" s="747">
        <f t="shared" ref="K73" si="21">ROUNDDOWN(K55*K72,0)</f>
        <v>33444849</v>
      </c>
      <c r="L73" s="747"/>
      <c r="M73" s="747">
        <f t="shared" ref="M73" si="22">ROUNDDOWN(M55*M72,0)</f>
        <v>26128772</v>
      </c>
      <c r="N73" s="748"/>
      <c r="R73" s="280"/>
    </row>
    <row r="74" spans="2:22" s="194" customFormat="1" ht="13.5" hidden="1" customHeight="1" x14ac:dyDescent="0.4">
      <c r="B74" s="726"/>
      <c r="C74" s="755" t="s">
        <v>340</v>
      </c>
      <c r="D74" s="755"/>
      <c r="E74" s="746">
        <f>G74+I74+K74+M74</f>
        <v>10451507</v>
      </c>
      <c r="F74" s="746"/>
      <c r="G74" s="747">
        <f>ROUNDDOWN(G56*G72,0)</f>
        <v>1985787</v>
      </c>
      <c r="H74" s="747"/>
      <c r="I74" s="747">
        <f t="shared" ref="I74" si="23">ROUNDDOWN(I56*I72,0)</f>
        <v>2508359</v>
      </c>
      <c r="J74" s="747"/>
      <c r="K74" s="747">
        <f t="shared" ref="K74" si="24">ROUNDDOWN(K56*K72,0)</f>
        <v>3344484</v>
      </c>
      <c r="L74" s="747"/>
      <c r="M74" s="747">
        <f t="shared" ref="M74" si="25">ROUNDDOWN(M56*M72,0)</f>
        <v>2612877</v>
      </c>
      <c r="N74" s="748"/>
      <c r="O74" s="286"/>
      <c r="Q74" s="287"/>
      <c r="R74" s="280"/>
    </row>
    <row r="75" spans="2:22" ht="13.5" hidden="1" customHeight="1" thickBot="1" x14ac:dyDescent="0.45">
      <c r="B75" s="726"/>
      <c r="C75" s="774" t="s">
        <v>342</v>
      </c>
      <c r="D75" s="775"/>
      <c r="E75" s="741">
        <f>(G75+I75+K75+M75)</f>
        <v>94063579</v>
      </c>
      <c r="F75" s="741"/>
      <c r="G75" s="742">
        <f>ROUNDDOWN(G$57*G72,0)</f>
        <v>17872086</v>
      </c>
      <c r="H75" s="742"/>
      <c r="I75" s="742">
        <f>ROUNDDOWN(I$57*I72,0)</f>
        <v>22575234</v>
      </c>
      <c r="J75" s="742"/>
      <c r="K75" s="742">
        <f>ROUNDDOWN(K$57*K72,0)</f>
        <v>30100364</v>
      </c>
      <c r="L75" s="742"/>
      <c r="M75" s="742">
        <f>ROUNDDOWN(M$57*M72,0)</f>
        <v>23515895</v>
      </c>
      <c r="N75" s="754"/>
      <c r="R75" s="280"/>
    </row>
    <row r="76" spans="2:22" ht="10.95" customHeight="1" x14ac:dyDescent="0.4">
      <c r="B76" s="288"/>
      <c r="C76" s="194"/>
      <c r="D76" s="194"/>
      <c r="E76" s="194"/>
      <c r="F76" s="289"/>
      <c r="G76" s="289"/>
      <c r="H76" s="289"/>
      <c r="I76" s="289"/>
      <c r="J76" s="289"/>
      <c r="K76" s="290"/>
      <c r="L76" s="274"/>
      <c r="M76" s="286"/>
      <c r="N76" s="286"/>
      <c r="O76" s="291"/>
      <c r="P76" s="203"/>
      <c r="Q76" s="203"/>
      <c r="R76" s="280"/>
    </row>
    <row r="77" spans="2:22" x14ac:dyDescent="0.4">
      <c r="B77" s="195" t="s">
        <v>343</v>
      </c>
      <c r="C77" s="195"/>
      <c r="D77" s="195"/>
      <c r="E77" s="195"/>
      <c r="F77" s="195"/>
      <c r="G77" s="195"/>
      <c r="H77" s="195"/>
      <c r="I77" s="195"/>
      <c r="J77" s="195"/>
      <c r="K77" s="195"/>
      <c r="L77" s="195"/>
      <c r="M77" s="286"/>
      <c r="N77" s="194"/>
      <c r="O77" s="266"/>
      <c r="P77" s="762"/>
      <c r="Q77" s="762"/>
      <c r="R77" s="256"/>
      <c r="T77" s="292"/>
    </row>
    <row r="78" spans="2:22" ht="8.25" customHeight="1" x14ac:dyDescent="0.4"/>
    <row r="79" spans="2:22" s="194" customFormat="1" ht="12" customHeight="1" x14ac:dyDescent="0.4">
      <c r="B79" s="765" t="s">
        <v>99</v>
      </c>
      <c r="C79" s="765"/>
      <c r="D79" s="766"/>
      <c r="E79" s="765" t="s">
        <v>344</v>
      </c>
      <c r="F79" s="765"/>
      <c r="G79" s="765"/>
      <c r="H79" s="767" t="s">
        <v>345</v>
      </c>
      <c r="I79" s="768"/>
      <c r="J79" s="768"/>
      <c r="K79" s="769"/>
      <c r="U79" s="293"/>
      <c r="V79" s="294"/>
    </row>
    <row r="80" spans="2:22" ht="15.6" x14ac:dyDescent="0.4">
      <c r="B80" s="770" t="s">
        <v>346</v>
      </c>
      <c r="C80" s="770"/>
      <c r="D80" s="771"/>
      <c r="E80" s="772">
        <f>IF('1.필수작성'!H28=0,E66, E66*'1.필수작성'!H28)</f>
        <v>106633490</v>
      </c>
      <c r="F80" s="772"/>
      <c r="G80" s="772"/>
      <c r="H80" s="773"/>
      <c r="I80" s="773"/>
      <c r="J80" s="773"/>
      <c r="K80" s="773"/>
      <c r="U80" s="203"/>
      <c r="V80" s="295"/>
    </row>
    <row r="81" spans="2:11" s="194" customFormat="1" ht="13.5" customHeight="1" x14ac:dyDescent="0.4">
      <c r="B81" s="770" t="s">
        <v>347</v>
      </c>
      <c r="C81" s="770"/>
      <c r="D81" s="771"/>
      <c r="E81" s="772">
        <f>E80*H81</f>
        <v>10663349</v>
      </c>
      <c r="F81" s="772"/>
      <c r="G81" s="772"/>
      <c r="H81" s="296">
        <v>0.1</v>
      </c>
      <c r="I81" s="786" t="s">
        <v>348</v>
      </c>
      <c r="J81" s="786"/>
      <c r="K81" s="786"/>
    </row>
    <row r="82" spans="2:11" s="297" customFormat="1" ht="13.5" customHeight="1" x14ac:dyDescent="0.4">
      <c r="B82" s="787" t="s">
        <v>349</v>
      </c>
      <c r="C82" s="787"/>
      <c r="D82" s="788"/>
      <c r="E82" s="789">
        <f>ROUND((SUM(E80:E81)),-4)</f>
        <v>117300000</v>
      </c>
      <c r="F82" s="789"/>
      <c r="G82" s="789"/>
      <c r="H82" s="786" t="s">
        <v>350</v>
      </c>
      <c r="I82" s="786"/>
      <c r="J82" s="786"/>
      <c r="K82" s="786"/>
    </row>
    <row r="83" spans="2:11" s="297" customFormat="1" ht="14.25" customHeight="1" thickBot="1" x14ac:dyDescent="0.45">
      <c r="B83" s="776" t="s">
        <v>349</v>
      </c>
      <c r="C83" s="776"/>
      <c r="D83" s="777"/>
      <c r="E83" s="778">
        <f>E82*1.1</f>
        <v>129030000.00000001</v>
      </c>
      <c r="F83" s="778"/>
      <c r="G83" s="778"/>
      <c r="H83" s="779" t="s">
        <v>351</v>
      </c>
      <c r="I83" s="779"/>
      <c r="J83" s="779"/>
      <c r="K83" s="779"/>
    </row>
    <row r="84" spans="2:11" s="297" customFormat="1" ht="20.25" customHeight="1" x14ac:dyDescent="0.4">
      <c r="B84" s="780" t="s">
        <v>352</v>
      </c>
      <c r="C84" s="781"/>
      <c r="D84" s="781"/>
      <c r="E84" s="782">
        <f>IF('1.필수작성'!H28=0,E75, E75*'1.필수작성'!H28)</f>
        <v>94063579</v>
      </c>
      <c r="F84" s="782"/>
      <c r="G84" s="782"/>
      <c r="H84" s="783" t="s">
        <v>353</v>
      </c>
      <c r="I84" s="784"/>
      <c r="J84" s="784"/>
      <c r="K84" s="785"/>
    </row>
    <row r="85" spans="2:11" s="297" customFormat="1" ht="13.5" customHeight="1" x14ac:dyDescent="0.4">
      <c r="B85" s="803" t="s">
        <v>347</v>
      </c>
      <c r="C85" s="804"/>
      <c r="D85" s="804"/>
      <c r="E85" s="805">
        <f>E84*H85</f>
        <v>9406357.9000000004</v>
      </c>
      <c r="F85" s="805"/>
      <c r="G85" s="805"/>
      <c r="H85" s="298">
        <f>H81</f>
        <v>0.1</v>
      </c>
      <c r="I85" s="806" t="s">
        <v>348</v>
      </c>
      <c r="J85" s="806"/>
      <c r="K85" s="806"/>
    </row>
    <row r="86" spans="2:11" s="297" customFormat="1" ht="12.75" customHeight="1" x14ac:dyDescent="0.4">
      <c r="B86" s="807" t="s">
        <v>354</v>
      </c>
      <c r="C86" s="808"/>
      <c r="D86" s="808"/>
      <c r="E86" s="809">
        <f>TRUNC((E84+E85),-5)</f>
        <v>103400000</v>
      </c>
      <c r="F86" s="809"/>
      <c r="G86" s="809"/>
      <c r="H86" s="797" t="s">
        <v>355</v>
      </c>
      <c r="I86" s="798"/>
      <c r="J86" s="798"/>
      <c r="K86" s="799"/>
    </row>
    <row r="87" spans="2:11" s="297" customFormat="1" ht="42" customHeight="1" x14ac:dyDescent="0.4">
      <c r="B87" s="810" t="s">
        <v>375</v>
      </c>
      <c r="C87" s="810"/>
      <c r="D87" s="810"/>
      <c r="E87" s="811">
        <f>E86/10835294</f>
        <v>9.5428882686524243</v>
      </c>
      <c r="F87" s="810"/>
      <c r="G87" s="810"/>
      <c r="H87" s="812" t="s">
        <v>376</v>
      </c>
      <c r="I87" s="812"/>
      <c r="J87" s="812"/>
      <c r="K87" s="812"/>
    </row>
    <row r="88" spans="2:11" s="297" customFormat="1" ht="12.75" customHeight="1" x14ac:dyDescent="0.4">
      <c r="B88" s="790" t="s">
        <v>356</v>
      </c>
      <c r="C88" s="791"/>
      <c r="D88" s="792"/>
      <c r="E88" s="793">
        <f>'1.필수작성'!G15</f>
        <v>1.5</v>
      </c>
      <c r="F88" s="793"/>
      <c r="G88" s="793"/>
      <c r="H88" s="794" t="s">
        <v>571</v>
      </c>
      <c r="I88" s="795"/>
      <c r="J88" s="795"/>
      <c r="K88" s="796"/>
    </row>
    <row r="89" spans="2:11" s="297" customFormat="1" ht="12.75" customHeight="1" x14ac:dyDescent="0.4">
      <c r="B89" s="800" t="s">
        <v>357</v>
      </c>
      <c r="C89" s="801"/>
      <c r="D89" s="801"/>
      <c r="E89" s="802">
        <f>TRUNC('1.필수작성'!F14, -5)</f>
        <v>17200000</v>
      </c>
      <c r="F89" s="802"/>
      <c r="G89" s="802"/>
      <c r="H89" s="797"/>
      <c r="I89" s="798"/>
      <c r="J89" s="798"/>
      <c r="K89" s="799"/>
    </row>
    <row r="90" spans="2:11" s="297" customFormat="1" ht="15.6" x14ac:dyDescent="0.4">
      <c r="B90" s="817" t="s">
        <v>358</v>
      </c>
      <c r="C90" s="817"/>
      <c r="D90" s="818"/>
      <c r="E90" s="819">
        <f>'1.필수작성'!G16</f>
        <v>100000000</v>
      </c>
      <c r="F90" s="819"/>
      <c r="G90" s="819"/>
      <c r="H90" s="820" t="s">
        <v>572</v>
      </c>
      <c r="I90" s="821"/>
      <c r="J90" s="821"/>
      <c r="K90" s="822"/>
    </row>
    <row r="91" spans="2:11" s="297" customFormat="1" x14ac:dyDescent="0.4">
      <c r="E91" s="299"/>
      <c r="F91" s="299"/>
      <c r="G91" s="299"/>
    </row>
    <row r="92" spans="2:11" s="297" customFormat="1" ht="30.75" customHeight="1" x14ac:dyDescent="0.4">
      <c r="B92" s="823" t="s">
        <v>359</v>
      </c>
      <c r="C92" s="824"/>
      <c r="D92" s="824"/>
      <c r="E92" s="825">
        <f>IF(SUM(E86+E89+E90) &gt; '1.필수작성'!F12, "사업 총예산 초과-재검토요", SUM(E86+E89+E90))</f>
        <v>220600000</v>
      </c>
      <c r="F92" s="825"/>
      <c r="G92" s="825"/>
      <c r="H92" s="826" t="s">
        <v>360</v>
      </c>
      <c r="I92" s="827"/>
      <c r="J92" s="827"/>
      <c r="K92" s="828"/>
    </row>
    <row r="93" spans="2:11" ht="13.5" customHeight="1" x14ac:dyDescent="0.4">
      <c r="B93" s="813" t="s">
        <v>361</v>
      </c>
      <c r="C93" s="813"/>
      <c r="D93" s="814"/>
      <c r="E93" s="815">
        <f>E92*1.1</f>
        <v>242660000.00000003</v>
      </c>
      <c r="F93" s="815"/>
      <c r="G93" s="815"/>
      <c r="H93" s="816" t="s">
        <v>351</v>
      </c>
      <c r="I93" s="816"/>
      <c r="J93" s="816"/>
      <c r="K93" s="816"/>
    </row>
    <row r="94" spans="2:11" ht="15.6" customHeight="1" x14ac:dyDescent="0.4">
      <c r="B94" s="300"/>
      <c r="C94" s="300"/>
      <c r="D94" s="300"/>
      <c r="E94" s="300"/>
      <c r="K94" s="300"/>
    </row>
    <row r="95" spans="2:11" ht="15.6" customHeight="1" x14ac:dyDescent="0.4">
      <c r="H95" s="301"/>
    </row>
    <row r="96" spans="2:11" ht="15.6" customHeight="1" x14ac:dyDescent="0.4"/>
    <row r="97" ht="15.6" customHeight="1" x14ac:dyDescent="0.4"/>
  </sheetData>
  <sheetProtection algorithmName="SHA-512" hashValue="bk3k08AG0xvJtwK9VCYllC6dAuovY7Dnvm4aEdPk9CSsiCm1uI9iK5wfp7q1K+6ekp8KMgL0vC2WqhY7DOmg8g==" saltValue="P5vE1E3NYR9Lt0ggz9vsmg==" spinCount="100000" sheet="1" formatCells="0"/>
  <mergeCells count="225">
    <mergeCell ref="B93:D93"/>
    <mergeCell ref="E93:G93"/>
    <mergeCell ref="H93:K93"/>
    <mergeCell ref="B90:D90"/>
    <mergeCell ref="E90:G90"/>
    <mergeCell ref="H90:K90"/>
    <mergeCell ref="B92:D92"/>
    <mergeCell ref="E92:G92"/>
    <mergeCell ref="H92:K92"/>
    <mergeCell ref="B88:D88"/>
    <mergeCell ref="E88:G88"/>
    <mergeCell ref="H88:K89"/>
    <mergeCell ref="B89:D89"/>
    <mergeCell ref="E89:G89"/>
    <mergeCell ref="B85:D85"/>
    <mergeCell ref="E85:G85"/>
    <mergeCell ref="I85:K85"/>
    <mergeCell ref="B86:D86"/>
    <mergeCell ref="E86:G86"/>
    <mergeCell ref="H86:K86"/>
    <mergeCell ref="B87:D87"/>
    <mergeCell ref="E87:G87"/>
    <mergeCell ref="H87:K87"/>
    <mergeCell ref="B83:D83"/>
    <mergeCell ref="E83:G83"/>
    <mergeCell ref="H83:K83"/>
    <mergeCell ref="B84:D84"/>
    <mergeCell ref="E84:G84"/>
    <mergeCell ref="H84:K84"/>
    <mergeCell ref="B81:D81"/>
    <mergeCell ref="E81:G81"/>
    <mergeCell ref="I81:K81"/>
    <mergeCell ref="B82:D82"/>
    <mergeCell ref="E82:G82"/>
    <mergeCell ref="H82:K82"/>
    <mergeCell ref="B79:D79"/>
    <mergeCell ref="E79:G79"/>
    <mergeCell ref="H79:K79"/>
    <mergeCell ref="B80:D80"/>
    <mergeCell ref="E80:G80"/>
    <mergeCell ref="H80:K80"/>
    <mergeCell ref="C75:D75"/>
    <mergeCell ref="E75:F75"/>
    <mergeCell ref="G75:H75"/>
    <mergeCell ref="I75:J75"/>
    <mergeCell ref="K75:L75"/>
    <mergeCell ref="B67:B75"/>
    <mergeCell ref="C69:D69"/>
    <mergeCell ref="G69:H69"/>
    <mergeCell ref="I69:J69"/>
    <mergeCell ref="K69:L69"/>
    <mergeCell ref="C71:D71"/>
    <mergeCell ref="G71:H71"/>
    <mergeCell ref="I71:J71"/>
    <mergeCell ref="K71:L71"/>
    <mergeCell ref="K67:L67"/>
    <mergeCell ref="M74:N74"/>
    <mergeCell ref="M72:N72"/>
    <mergeCell ref="C73:D73"/>
    <mergeCell ref="E73:F73"/>
    <mergeCell ref="G73:H73"/>
    <mergeCell ref="I73:J73"/>
    <mergeCell ref="K73:L73"/>
    <mergeCell ref="M73:N73"/>
    <mergeCell ref="P77:Q77"/>
    <mergeCell ref="M75:N75"/>
    <mergeCell ref="C72:D72"/>
    <mergeCell ref="E72:F72"/>
    <mergeCell ref="G72:H72"/>
    <mergeCell ref="I72:J72"/>
    <mergeCell ref="K72:L72"/>
    <mergeCell ref="C74:D74"/>
    <mergeCell ref="E74:F74"/>
    <mergeCell ref="G74:H74"/>
    <mergeCell ref="I74:J74"/>
    <mergeCell ref="K74:L74"/>
    <mergeCell ref="M71:N71"/>
    <mergeCell ref="M66:N66"/>
    <mergeCell ref="C65:D65"/>
    <mergeCell ref="E65:F65"/>
    <mergeCell ref="G65:H65"/>
    <mergeCell ref="I65:J65"/>
    <mergeCell ref="K65:L65"/>
    <mergeCell ref="M65:N65"/>
    <mergeCell ref="M69:N69"/>
    <mergeCell ref="C70:D70"/>
    <mergeCell ref="G70:H70"/>
    <mergeCell ref="I70:J70"/>
    <mergeCell ref="K70:L70"/>
    <mergeCell ref="M70:N70"/>
    <mergeCell ref="M67:N67"/>
    <mergeCell ref="C68:D68"/>
    <mergeCell ref="G68:H68"/>
    <mergeCell ref="I68:J68"/>
    <mergeCell ref="K68:L68"/>
    <mergeCell ref="M68:N68"/>
    <mergeCell ref="C67:D67"/>
    <mergeCell ref="E67:F71"/>
    <mergeCell ref="G67:H67"/>
    <mergeCell ref="I67:J67"/>
    <mergeCell ref="M63:N63"/>
    <mergeCell ref="C64:D64"/>
    <mergeCell ref="E64:F64"/>
    <mergeCell ref="G64:H64"/>
    <mergeCell ref="I64:J64"/>
    <mergeCell ref="K64:L64"/>
    <mergeCell ref="M64:N64"/>
    <mergeCell ref="C62:D62"/>
    <mergeCell ref="G62:H62"/>
    <mergeCell ref="I62:J62"/>
    <mergeCell ref="K62:L62"/>
    <mergeCell ref="M62:N62"/>
    <mergeCell ref="C63:D63"/>
    <mergeCell ref="E63:F63"/>
    <mergeCell ref="G63:H63"/>
    <mergeCell ref="I63:J63"/>
    <mergeCell ref="K63:L63"/>
    <mergeCell ref="M60:N60"/>
    <mergeCell ref="C61:D61"/>
    <mergeCell ref="G61:H61"/>
    <mergeCell ref="I61:J61"/>
    <mergeCell ref="K61:L61"/>
    <mergeCell ref="M61:N61"/>
    <mergeCell ref="M58:N58"/>
    <mergeCell ref="C59:D59"/>
    <mergeCell ref="G59:H59"/>
    <mergeCell ref="I59:J59"/>
    <mergeCell ref="K59:L59"/>
    <mergeCell ref="M59:N59"/>
    <mergeCell ref="B58:B66"/>
    <mergeCell ref="C58:D58"/>
    <mergeCell ref="E58:F62"/>
    <mergeCell ref="G58:H58"/>
    <mergeCell ref="I58:J58"/>
    <mergeCell ref="K58:L58"/>
    <mergeCell ref="C60:D60"/>
    <mergeCell ref="G60:H60"/>
    <mergeCell ref="I60:J60"/>
    <mergeCell ref="K60:L60"/>
    <mergeCell ref="C66:D66"/>
    <mergeCell ref="E66:F66"/>
    <mergeCell ref="G66:H66"/>
    <mergeCell ref="I66:J66"/>
    <mergeCell ref="K66:L66"/>
    <mergeCell ref="K54:L54"/>
    <mergeCell ref="M54:N54"/>
    <mergeCell ref="B55:B57"/>
    <mergeCell ref="C55:D55"/>
    <mergeCell ref="E55:F55"/>
    <mergeCell ref="G55:H55"/>
    <mergeCell ref="I55:J55"/>
    <mergeCell ref="K55:L55"/>
    <mergeCell ref="C57:D57"/>
    <mergeCell ref="E57:F57"/>
    <mergeCell ref="G57:H57"/>
    <mergeCell ref="I57:J57"/>
    <mergeCell ref="K57:L57"/>
    <mergeCell ref="M57:N57"/>
    <mergeCell ref="M55:N55"/>
    <mergeCell ref="C56:D56"/>
    <mergeCell ref="E56:F56"/>
    <mergeCell ref="G56:H56"/>
    <mergeCell ref="I56:J56"/>
    <mergeCell ref="K56:L56"/>
    <mergeCell ref="M56:N56"/>
    <mergeCell ref="C17:C20"/>
    <mergeCell ref="B49:E49"/>
    <mergeCell ref="B50:E50"/>
    <mergeCell ref="B51:E51"/>
    <mergeCell ref="B52:F52"/>
    <mergeCell ref="C54:D54"/>
    <mergeCell ref="E54:F54"/>
    <mergeCell ref="J40:J41"/>
    <mergeCell ref="D42:E42"/>
    <mergeCell ref="B47:E47"/>
    <mergeCell ref="B48:E48"/>
    <mergeCell ref="G54:H54"/>
    <mergeCell ref="I54:J54"/>
    <mergeCell ref="D20:E20"/>
    <mergeCell ref="L30:L31"/>
    <mergeCell ref="D32:E32"/>
    <mergeCell ref="B39:B41"/>
    <mergeCell ref="C39:C42"/>
    <mergeCell ref="D39:D41"/>
    <mergeCell ref="E39:E41"/>
    <mergeCell ref="F39:J39"/>
    <mergeCell ref="K39:L39"/>
    <mergeCell ref="F40:H40"/>
    <mergeCell ref="I40:I41"/>
    <mergeCell ref="B29:B31"/>
    <mergeCell ref="C29:C32"/>
    <mergeCell ref="D29:D31"/>
    <mergeCell ref="E29:E31"/>
    <mergeCell ref="F29:J29"/>
    <mergeCell ref="K29:L29"/>
    <mergeCell ref="F30:H30"/>
    <mergeCell ref="I30:I31"/>
    <mergeCell ref="J30:J31"/>
    <mergeCell ref="K30:K31"/>
    <mergeCell ref="K40:K41"/>
    <mergeCell ref="L40:L41"/>
    <mergeCell ref="I7:I8"/>
    <mergeCell ref="J7:J8"/>
    <mergeCell ref="D17:D19"/>
    <mergeCell ref="E17:E19"/>
    <mergeCell ref="F17:J17"/>
    <mergeCell ref="K17:L17"/>
    <mergeCell ref="B2:G2"/>
    <mergeCell ref="H2:L4"/>
    <mergeCell ref="B6:B8"/>
    <mergeCell ref="C6:C8"/>
    <mergeCell ref="D6:E6"/>
    <mergeCell ref="F6:J6"/>
    <mergeCell ref="K6:L6"/>
    <mergeCell ref="D7:D8"/>
    <mergeCell ref="E7:E8"/>
    <mergeCell ref="F7:H7"/>
    <mergeCell ref="F18:H18"/>
    <mergeCell ref="I18:I19"/>
    <mergeCell ref="J18:J19"/>
    <mergeCell ref="K18:K19"/>
    <mergeCell ref="L18:L19"/>
    <mergeCell ref="K7:K8"/>
    <mergeCell ref="L7:L8"/>
    <mergeCell ref="B17:B19"/>
  </mergeCells>
  <phoneticPr fontId="2" type="noConversion"/>
  <conditionalFormatting sqref="B33">
    <cfRule type="cellIs" dxfId="1" priority="2" stopIfTrue="1" operator="equal">
      <formula>"신규"</formula>
    </cfRule>
  </conditionalFormatting>
  <conditionalFormatting sqref="B43">
    <cfRule type="cellIs" dxfId="0" priority="1" stopIfTrue="1" operator="equal">
      <formula>"신규"</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Q115"/>
  <sheetViews>
    <sheetView topLeftCell="A19" workbookViewId="0">
      <selection activeCell="J33" sqref="J33"/>
    </sheetView>
  </sheetViews>
  <sheetFormatPr defaultColWidth="3.5" defaultRowHeight="13.2" x14ac:dyDescent="0.4"/>
  <cols>
    <col min="1" max="1" width="7.296875" style="2" customWidth="1"/>
    <col min="2" max="2" width="24.296875" style="2" customWidth="1"/>
    <col min="3" max="3" width="16.69921875" style="2" customWidth="1"/>
    <col min="4" max="4" width="22.5" style="2" bestFit="1" customWidth="1"/>
    <col min="5" max="5" width="22" style="2" customWidth="1"/>
    <col min="6" max="6" width="19.19921875" style="2" customWidth="1"/>
    <col min="7" max="7" width="22.796875" style="2" customWidth="1"/>
    <col min="8" max="8" width="8.5" style="2" bestFit="1" customWidth="1"/>
    <col min="9" max="9" width="20.69921875" style="2" bestFit="1" customWidth="1"/>
    <col min="10" max="10" width="22.5" style="2" customWidth="1"/>
    <col min="11" max="12" width="19.5" style="2" bestFit="1" customWidth="1"/>
    <col min="13" max="13" width="8.5" style="2" bestFit="1" customWidth="1"/>
    <col min="14" max="14" width="2.69921875" style="2" customWidth="1"/>
    <col min="15" max="15" width="2.19921875" style="2" customWidth="1"/>
    <col min="16" max="16" width="4.296875" style="2" customWidth="1"/>
    <col min="17" max="17" width="4.5" style="2" customWidth="1"/>
    <col min="18" max="18" width="3.296875" style="2" customWidth="1"/>
    <col min="19" max="19" width="2.69921875" style="2" customWidth="1"/>
    <col min="20" max="20" width="4.5" style="2" customWidth="1"/>
    <col min="21" max="22" width="4.69921875" style="2" bestFit="1" customWidth="1"/>
    <col min="23" max="23" width="3.19921875" style="2" customWidth="1"/>
    <col min="24" max="24" width="3.296875" style="2" customWidth="1"/>
    <col min="25" max="28" width="19.69921875" style="2" customWidth="1"/>
    <col min="29" max="29" width="17.19921875" style="2" customWidth="1"/>
    <col min="30" max="40" width="6.296875" style="2" customWidth="1"/>
    <col min="41" max="42" width="19.69921875" style="2" customWidth="1"/>
    <col min="43" max="16384" width="3.5" style="2"/>
  </cols>
  <sheetData>
    <row r="1" spans="2:12" ht="5.25" customHeight="1" x14ac:dyDescent="0.4"/>
    <row r="2" spans="2:12" ht="17.399999999999999" x14ac:dyDescent="0.4">
      <c r="B2" s="307" t="s">
        <v>387</v>
      </c>
      <c r="C2" s="195"/>
      <c r="D2" s="195"/>
      <c r="E2" s="195"/>
      <c r="F2" s="195"/>
      <c r="G2" s="308"/>
      <c r="H2" s="308"/>
      <c r="I2" s="308"/>
      <c r="J2" s="203"/>
      <c r="K2" s="203"/>
      <c r="L2" s="309"/>
    </row>
    <row r="3" spans="2:12" ht="5.25" customHeight="1" x14ac:dyDescent="0.4">
      <c r="B3" s="192"/>
      <c r="C3" s="192"/>
      <c r="D3" s="192"/>
      <c r="E3" s="192"/>
      <c r="F3" s="192"/>
      <c r="G3" s="192"/>
      <c r="H3" s="192"/>
      <c r="I3" s="192"/>
      <c r="J3" s="192"/>
      <c r="K3" s="203"/>
      <c r="L3" s="309"/>
    </row>
    <row r="4" spans="2:12" x14ac:dyDescent="0.4">
      <c r="B4" s="834" t="s">
        <v>32</v>
      </c>
      <c r="C4" s="834"/>
      <c r="D4" s="310" t="s">
        <v>388</v>
      </c>
    </row>
    <row r="5" spans="2:12" x14ac:dyDescent="0.4">
      <c r="B5" s="311" t="s">
        <v>389</v>
      </c>
      <c r="C5" s="312">
        <f>'3.산정결과'!F49</f>
        <v>152.80000000000001</v>
      </c>
    </row>
    <row r="6" spans="2:12" x14ac:dyDescent="0.4">
      <c r="B6" s="313"/>
      <c r="C6" s="314"/>
      <c r="D6" s="315"/>
      <c r="E6" s="316"/>
    </row>
    <row r="7" spans="2:12" x14ac:dyDescent="0.4">
      <c r="B7" s="313" t="s">
        <v>574</v>
      </c>
      <c r="C7" s="314">
        <v>11472000</v>
      </c>
      <c r="D7" s="317"/>
      <c r="E7" s="318"/>
    </row>
    <row r="8" spans="2:12" ht="5.25" customHeight="1" x14ac:dyDescent="0.4"/>
    <row r="9" spans="2:12" x14ac:dyDescent="0.4">
      <c r="B9" s="319" t="s">
        <v>390</v>
      </c>
      <c r="C9" s="320" t="s">
        <v>391</v>
      </c>
      <c r="D9" s="321"/>
    </row>
    <row r="10" spans="2:12" ht="15.6" x14ac:dyDescent="0.4">
      <c r="B10" s="322" t="s">
        <v>392</v>
      </c>
      <c r="C10" s="323">
        <f>D10</f>
        <v>1.28</v>
      </c>
      <c r="D10" s="324">
        <f>IF(C5&lt;500,1.28,IF(C5&lt;=3000,0.4057*(LN(C5)-7.1978)*(LN(C5)-7.1978)+0.8878,1.153))</f>
        <v>1.28</v>
      </c>
      <c r="E10" s="325" t="s">
        <v>393</v>
      </c>
    </row>
    <row r="11" spans="2:12" ht="21" customHeight="1" x14ac:dyDescent="0.4"/>
    <row r="12" spans="2:12" x14ac:dyDescent="0.4">
      <c r="B12" s="319" t="s">
        <v>394</v>
      </c>
      <c r="C12" s="319"/>
      <c r="D12" s="326"/>
    </row>
    <row r="13" spans="2:12" x14ac:dyDescent="0.4">
      <c r="B13" s="322" t="s">
        <v>395</v>
      </c>
      <c r="C13" s="327" t="s">
        <v>396</v>
      </c>
      <c r="D13" s="327" t="s">
        <v>397</v>
      </c>
      <c r="E13" s="327" t="s">
        <v>398</v>
      </c>
      <c r="F13" s="327" t="s">
        <v>399</v>
      </c>
      <c r="G13" s="327" t="s">
        <v>570</v>
      </c>
    </row>
    <row r="14" spans="2:12" x14ac:dyDescent="0.4">
      <c r="B14" s="322" t="s">
        <v>400</v>
      </c>
      <c r="C14" s="328">
        <v>0.88</v>
      </c>
      <c r="D14" s="328">
        <v>0.94</v>
      </c>
      <c r="E14" s="328">
        <v>1</v>
      </c>
      <c r="F14" s="328">
        <v>1.06</v>
      </c>
      <c r="G14" s="328">
        <v>1.1200000000000001</v>
      </c>
    </row>
    <row r="15" spans="2:12" x14ac:dyDescent="0.4">
      <c r="B15" s="322" t="s">
        <v>401</v>
      </c>
      <c r="C15" s="329">
        <f>'2. 규모산정(FP)'!G11</f>
        <v>147.40000000000003</v>
      </c>
      <c r="D15" s="457">
        <f>'2. 규모산정(FP)'!H11</f>
        <v>5.4</v>
      </c>
      <c r="E15" s="329">
        <f>'2. 규모산정(FP)'!I11</f>
        <v>0</v>
      </c>
      <c r="F15" s="329">
        <f>'2. 규모산정(FP)'!J11</f>
        <v>0</v>
      </c>
      <c r="G15" s="329">
        <f>'2. 규모산정(FP)'!K11</f>
        <v>0</v>
      </c>
    </row>
    <row r="16" spans="2:12" x14ac:dyDescent="0.4">
      <c r="B16" s="322" t="s">
        <v>402</v>
      </c>
      <c r="C16" s="330">
        <f>C15/SUM($C$15:$G$15)</f>
        <v>0.96465968586387429</v>
      </c>
      <c r="D16" s="330">
        <f>D15/SUM($C$15:$G$15)</f>
        <v>3.534031413612565E-2</v>
      </c>
      <c r="E16" s="330">
        <f t="shared" ref="E16:G16" si="0">E15/SUM($C$15:$G$15)</f>
        <v>0</v>
      </c>
      <c r="F16" s="330">
        <f t="shared" si="0"/>
        <v>0</v>
      </c>
      <c r="G16" s="330">
        <f t="shared" si="0"/>
        <v>0</v>
      </c>
    </row>
    <row r="17" spans="2:7" ht="15.6" x14ac:dyDescent="0.4">
      <c r="B17" s="331" t="s">
        <v>403</v>
      </c>
      <c r="C17" s="332">
        <f>((C14*C16*100)+(D14*D16*100)+(E14*E16*100)+(F14*F16*100)+(G14*G16*100))/100</f>
        <v>0.88212041884816761</v>
      </c>
      <c r="D17" s="325" t="s">
        <v>393</v>
      </c>
    </row>
    <row r="18" spans="2:7" ht="5.25" customHeight="1" x14ac:dyDescent="0.4"/>
    <row r="19" spans="2:7" x14ac:dyDescent="0.4">
      <c r="B19" s="319" t="s">
        <v>404</v>
      </c>
    </row>
    <row r="20" spans="2:7" ht="13.8" thickBot="1" x14ac:dyDescent="0.45">
      <c r="B20" s="333" t="s">
        <v>405</v>
      </c>
      <c r="C20" s="334" t="s">
        <v>406</v>
      </c>
      <c r="D20" s="335" t="s">
        <v>407</v>
      </c>
      <c r="E20" s="335" t="s">
        <v>408</v>
      </c>
      <c r="F20" s="335" t="s">
        <v>409</v>
      </c>
      <c r="G20" s="335" t="s">
        <v>410</v>
      </c>
    </row>
    <row r="21" spans="2:7" x14ac:dyDescent="0.4">
      <c r="B21" s="336" t="s">
        <v>411</v>
      </c>
      <c r="C21" s="337">
        <v>0.91</v>
      </c>
      <c r="D21" s="338">
        <v>0.95</v>
      </c>
      <c r="E21" s="338">
        <v>1</v>
      </c>
      <c r="F21" s="338">
        <v>1.05</v>
      </c>
      <c r="G21" s="338">
        <v>1.0900000000000001</v>
      </c>
    </row>
    <row r="22" spans="2:7" ht="13.8" thickBot="1" x14ac:dyDescent="0.45">
      <c r="B22" s="339" t="s">
        <v>412</v>
      </c>
      <c r="C22" s="340">
        <v>0.1</v>
      </c>
      <c r="D22" s="341">
        <v>0.68</v>
      </c>
      <c r="E22" s="342">
        <v>0</v>
      </c>
      <c r="F22" s="343">
        <v>0</v>
      </c>
      <c r="G22" s="343">
        <v>0</v>
      </c>
    </row>
    <row r="23" spans="2:7" ht="16.2" thickBot="1" x14ac:dyDescent="0.45">
      <c r="B23" s="344" t="s">
        <v>413</v>
      </c>
      <c r="C23" s="345">
        <v>1</v>
      </c>
      <c r="D23" s="346" t="s">
        <v>414</v>
      </c>
      <c r="E23" s="347"/>
    </row>
    <row r="24" spans="2:7" ht="5.25" customHeight="1" x14ac:dyDescent="0.4"/>
    <row r="25" spans="2:7" x14ac:dyDescent="0.4">
      <c r="B25" s="319" t="s">
        <v>415</v>
      </c>
      <c r="C25" s="348"/>
      <c r="D25" s="349"/>
      <c r="E25" s="349"/>
      <c r="F25" s="349"/>
    </row>
    <row r="26" spans="2:7" ht="13.8" thickBot="1" x14ac:dyDescent="0.45">
      <c r="B26" s="350" t="s">
        <v>416</v>
      </c>
      <c r="C26" s="351" t="s">
        <v>417</v>
      </c>
      <c r="D26" s="352" t="s">
        <v>418</v>
      </c>
      <c r="E26" s="352" t="s">
        <v>419</v>
      </c>
      <c r="F26" s="353" t="s">
        <v>420</v>
      </c>
      <c r="G26" s="353" t="s">
        <v>421</v>
      </c>
    </row>
    <row r="27" spans="2:7" ht="14.4" thickTop="1" thickBot="1" x14ac:dyDescent="0.45">
      <c r="B27" s="350" t="s">
        <v>422</v>
      </c>
      <c r="C27" s="354" t="s">
        <v>423</v>
      </c>
      <c r="D27" s="355" t="s">
        <v>423</v>
      </c>
      <c r="E27" s="355" t="s">
        <v>423</v>
      </c>
      <c r="F27" s="355" t="s">
        <v>423</v>
      </c>
      <c r="G27" s="355" t="s">
        <v>423</v>
      </c>
    </row>
    <row r="28" spans="2:7" ht="14.4" thickTop="1" thickBot="1" x14ac:dyDescent="0.45">
      <c r="B28" s="350" t="s">
        <v>424</v>
      </c>
      <c r="C28" s="356">
        <f>IF(C27="상",1.7,IF(C27="중",1,IF(C27="하",0.7,0)))</f>
        <v>1</v>
      </c>
      <c r="D28" s="357">
        <f>IF(D27="상",1.7,IF(D27="중",1,IF(D27="하",0.7,0)))</f>
        <v>1</v>
      </c>
      <c r="E28" s="358">
        <f>IF(E27="상",1.7,IF(E27="중",1,IF(E27="하",0.7,0)))</f>
        <v>1</v>
      </c>
      <c r="F28" s="359">
        <f>IF(F27="상",1.7,IF(F27="중",1,IF(F27="하",0.7,0)))</f>
        <v>1</v>
      </c>
      <c r="G28" s="359">
        <f>IF(G27="상",1.7,IF(G27="중",1,IF(G27="하",0.7,0)))</f>
        <v>1</v>
      </c>
    </row>
    <row r="29" spans="2:7" ht="13.8" thickBot="1" x14ac:dyDescent="0.45">
      <c r="B29" s="331" t="s">
        <v>403</v>
      </c>
      <c r="C29" s="360">
        <v>1</v>
      </c>
      <c r="D29" s="361">
        <f>IF(C28=0, "등급값 사용함", ROUND((0.025*(SUM(C28:F28)) + 1),3))</f>
        <v>1.1000000000000001</v>
      </c>
      <c r="E29" s="362">
        <v>1.17</v>
      </c>
      <c r="F29" s="347"/>
    </row>
    <row r="30" spans="2:7" ht="5.25" customHeight="1" x14ac:dyDescent="0.4"/>
    <row r="31" spans="2:7" x14ac:dyDescent="0.4">
      <c r="B31" s="319" t="s">
        <v>425</v>
      </c>
      <c r="C31" s="348"/>
      <c r="D31" s="349"/>
      <c r="E31" s="349"/>
      <c r="F31" s="349"/>
    </row>
    <row r="32" spans="2:7" ht="13.8" thickBot="1" x14ac:dyDescent="0.45">
      <c r="B32" s="350" t="s">
        <v>416</v>
      </c>
      <c r="C32" s="351" t="s">
        <v>426</v>
      </c>
      <c r="D32" s="352" t="s">
        <v>427</v>
      </c>
      <c r="E32" s="352" t="s">
        <v>428</v>
      </c>
      <c r="F32" s="353" t="s">
        <v>429</v>
      </c>
      <c r="G32" s="353" t="s">
        <v>430</v>
      </c>
    </row>
    <row r="33" spans="2:17" ht="14.4" thickTop="1" thickBot="1" x14ac:dyDescent="0.45">
      <c r="B33" s="350" t="s">
        <v>431</v>
      </c>
      <c r="C33" s="354" t="s">
        <v>423</v>
      </c>
      <c r="D33" s="355" t="s">
        <v>423</v>
      </c>
      <c r="E33" s="355" t="s">
        <v>423</v>
      </c>
      <c r="F33" s="355" t="s">
        <v>423</v>
      </c>
      <c r="G33" s="355" t="s">
        <v>423</v>
      </c>
    </row>
    <row r="34" spans="2:17" ht="14.4" thickTop="1" thickBot="1" x14ac:dyDescent="0.45">
      <c r="B34" s="350" t="s">
        <v>424</v>
      </c>
      <c r="C34" s="356">
        <f>IF(C33="상",1.7,IF(C33="중",1,IF(C33="하",0.7,0)))</f>
        <v>1</v>
      </c>
      <c r="D34" s="357">
        <f>IF(D33="상",1.7,IF(D33="중",1,IF(D33="하",0.7,0)))</f>
        <v>1</v>
      </c>
      <c r="E34" s="358">
        <f>IF(E33="상",1.7,IF(E33="중",1,IF(E33="하",0.7,0)))</f>
        <v>1</v>
      </c>
      <c r="F34" s="359">
        <f>IF(F33="상",1.7,IF(F33="중",1,IF(F33="하",0.7,0)))</f>
        <v>1</v>
      </c>
      <c r="G34" s="359">
        <f>IF(G33="상",1.7,IF(G33="중",1,IF(G33="하",0.7,0)))</f>
        <v>1</v>
      </c>
    </row>
    <row r="35" spans="2:17" ht="13.8" thickBot="1" x14ac:dyDescent="0.45">
      <c r="B35" s="331" t="s">
        <v>413</v>
      </c>
      <c r="C35" s="360">
        <v>1</v>
      </c>
      <c r="D35" s="361">
        <f>IF(C34=0, "등급값 사용함", ROUND((0.025*(SUM(C34:F34)) + 1),3))</f>
        <v>1.1000000000000001</v>
      </c>
      <c r="E35" s="362">
        <v>1.17</v>
      </c>
      <c r="F35" s="347"/>
    </row>
    <row r="36" spans="2:17" ht="13.8" thickBot="1" x14ac:dyDescent="0.45">
      <c r="B36" s="363"/>
      <c r="C36" s="364"/>
      <c r="D36" s="365"/>
      <c r="E36" s="364"/>
    </row>
    <row r="37" spans="2:17" ht="16.2" thickBot="1" x14ac:dyDescent="0.45">
      <c r="B37" s="366" t="s">
        <v>432</v>
      </c>
      <c r="C37" s="835">
        <v>0</v>
      </c>
      <c r="D37" s="836"/>
    </row>
    <row r="38" spans="2:17" ht="16.8" thickTop="1" thickBot="1" x14ac:dyDescent="0.45">
      <c r="B38" s="367" t="s">
        <v>433</v>
      </c>
      <c r="C38" s="368"/>
      <c r="D38" s="369" t="s">
        <v>573</v>
      </c>
    </row>
    <row r="39" spans="2:17" x14ac:dyDescent="0.4">
      <c r="B39" s="305" t="s">
        <v>434</v>
      </c>
      <c r="C39" s="370">
        <v>0</v>
      </c>
      <c r="D39" s="306" t="s">
        <v>435</v>
      </c>
      <c r="E39" s="371">
        <v>0</v>
      </c>
    </row>
    <row r="40" spans="2:17" x14ac:dyDescent="0.4">
      <c r="B40" s="372" t="s">
        <v>436</v>
      </c>
      <c r="C40" s="373">
        <f>IF(C39=0, 0, IF(E39=0,0,E39/C39))</f>
        <v>0</v>
      </c>
      <c r="D40" s="374" t="s">
        <v>437</v>
      </c>
      <c r="E40" s="375">
        <f>IF(C45=0, 0, IF(C40=0, 0, IF(D38="S",0.45,IF(D38="A",0.35,IF(D38="B",0.25,IF(D38="C",0.15,0.15))))))</f>
        <v>0</v>
      </c>
    </row>
    <row r="41" spans="2:17" x14ac:dyDescent="0.4">
      <c r="B41" s="376" t="s">
        <v>438</v>
      </c>
      <c r="C41" s="377">
        <f>0.25*C42+0.45*C43+0.3*C40</f>
        <v>0</v>
      </c>
      <c r="D41" s="378" t="s">
        <v>439</v>
      </c>
      <c r="E41" s="379">
        <f>C45*1.15</f>
        <v>0</v>
      </c>
    </row>
    <row r="42" spans="2:17" ht="26.4" x14ac:dyDescent="0.4">
      <c r="B42" s="372" t="s">
        <v>440</v>
      </c>
      <c r="C42" s="373">
        <v>0</v>
      </c>
      <c r="D42" s="380" t="s">
        <v>441</v>
      </c>
      <c r="E42" s="381">
        <f>IF(C45=0, 0, IF(E46&gt;1.1, 1.1, E46))</f>
        <v>0</v>
      </c>
    </row>
    <row r="43" spans="2:17" x14ac:dyDescent="0.4">
      <c r="B43" s="382" t="s">
        <v>442</v>
      </c>
      <c r="C43" s="377">
        <v>0</v>
      </c>
      <c r="D43" s="383" t="s">
        <v>443</v>
      </c>
      <c r="E43" s="379">
        <f>(0.4*C45)+(0.3*E41)+(0.3*E42)</f>
        <v>0</v>
      </c>
    </row>
    <row r="44" spans="2:17" x14ac:dyDescent="0.4">
      <c r="B44" s="382" t="s">
        <v>444</v>
      </c>
      <c r="C44" s="377">
        <v>0</v>
      </c>
      <c r="D44" s="383" t="s">
        <v>445</v>
      </c>
      <c r="E44" s="379">
        <f>IF(C45=0, 0, IF(C40=0, 0, IF(E43&lt;50,(2+(E43*100)*(1+0.02*(30*0.2)))/100, (2+E43+(30*1))/100)))</f>
        <v>0</v>
      </c>
    </row>
    <row r="45" spans="2:17" ht="15.6" x14ac:dyDescent="0.4">
      <c r="B45" s="384" t="s">
        <v>446</v>
      </c>
      <c r="C45" s="385">
        <v>0</v>
      </c>
      <c r="D45" s="386" t="s">
        <v>447</v>
      </c>
      <c r="E45" s="387">
        <f>IF(C45=0, 0, IF(E44&gt;0.7, 0.7, E44))</f>
        <v>0</v>
      </c>
      <c r="G45" s="388"/>
      <c r="I45" s="389"/>
    </row>
    <row r="46" spans="2:17" ht="13.8" thickBot="1" x14ac:dyDescent="0.45">
      <c r="B46" s="390"/>
      <c r="C46" s="391"/>
      <c r="D46" s="391"/>
      <c r="E46" s="392">
        <f>((C45*0.5)+(E40*0.5)+C38)</f>
        <v>0</v>
      </c>
      <c r="G46" s="388"/>
    </row>
    <row r="47" spans="2:17" ht="5.25" customHeight="1" x14ac:dyDescent="0.4">
      <c r="G47" s="388"/>
      <c r="P47" s="837"/>
      <c r="Q47" s="837"/>
    </row>
    <row r="48" spans="2:17" x14ac:dyDescent="0.4">
      <c r="B48" s="838" t="s">
        <v>448</v>
      </c>
      <c r="C48" s="839"/>
      <c r="D48" s="840"/>
      <c r="H48" s="393"/>
      <c r="I48" s="837"/>
      <c r="J48" s="837"/>
    </row>
    <row r="49" spans="2:10" x14ac:dyDescent="0.4">
      <c r="B49" s="394" t="s">
        <v>449</v>
      </c>
      <c r="C49" s="841">
        <f>'3.산정결과'!E64</f>
        <v>118481655</v>
      </c>
      <c r="D49" s="842"/>
      <c r="I49" s="837"/>
      <c r="J49" s="837"/>
    </row>
    <row r="50" spans="2:10" x14ac:dyDescent="0.4">
      <c r="B50" s="395" t="s">
        <v>450</v>
      </c>
      <c r="C50" s="396">
        <v>0.04</v>
      </c>
      <c r="D50" s="397">
        <f>C49*C50</f>
        <v>4739266.2</v>
      </c>
    </row>
    <row r="51" spans="2:10" x14ac:dyDescent="0.4">
      <c r="B51" s="394" t="s">
        <v>451</v>
      </c>
      <c r="C51" s="829">
        <f>C49+D50</f>
        <v>123220921.2</v>
      </c>
      <c r="D51" s="830"/>
    </row>
    <row r="52" spans="2:10" x14ac:dyDescent="0.4">
      <c r="B52" s="398" t="s">
        <v>452</v>
      </c>
      <c r="C52" s="831">
        <f>C51*0.1</f>
        <v>12322092.120000001</v>
      </c>
      <c r="D52" s="832"/>
    </row>
    <row r="53" spans="2:10" x14ac:dyDescent="0.4">
      <c r="B53" s="394" t="s">
        <v>453</v>
      </c>
      <c r="C53" s="833">
        <f>C51+C52</f>
        <v>135543013.31999999</v>
      </c>
      <c r="D53" s="832"/>
    </row>
    <row r="114" spans="5:5" x14ac:dyDescent="0.4">
      <c r="E114" s="2" t="s">
        <v>454</v>
      </c>
    </row>
    <row r="115" spans="5:5" x14ac:dyDescent="0.4">
      <c r="E115" s="2" t="s">
        <v>455</v>
      </c>
    </row>
  </sheetData>
  <mergeCells count="10">
    <mergeCell ref="P47:Q47"/>
    <mergeCell ref="B48:D48"/>
    <mergeCell ref="I48:J48"/>
    <mergeCell ref="C49:D49"/>
    <mergeCell ref="I49:J49"/>
    <mergeCell ref="C51:D51"/>
    <mergeCell ref="C52:D52"/>
    <mergeCell ref="C53:D53"/>
    <mergeCell ref="B4:C4"/>
    <mergeCell ref="C37:D37"/>
  </mergeCells>
  <phoneticPr fontId="2" type="noConversion"/>
  <dataValidations count="6">
    <dataValidation type="custom" allowBlank="1" showInputMessage="1" showErrorMessage="1" errorTitle="입력안내" error="300FP 이하이면 권장값 0.65이고_x000a_심의자 판단하에 0.8 미만값은 입력가능 해놓았음--0.65 권고함_x000a__x000a_300FP 이상이면_x000a_자동계산값 이하 입력가능_x000a__x000a_자동계산값이 권장값임." sqref="D10" xr:uid="{00000000-0002-0000-0300-000000000000}">
      <formula1>IF(C10=0.65, D10&lt;0.8, D10&lt;=C10)</formula1>
    </dataValidation>
    <dataValidation type="list" allowBlank="1" showInputMessage="1" showErrorMessage="1" sqref="C38" xr:uid="{00000000-0002-0000-0300-000001000000}">
      <formula1>"4%,8%,12%,16%,20%,24%,28%"</formula1>
    </dataValidation>
    <dataValidation type="list" allowBlank="1" showInputMessage="1" showErrorMessage="1" sqref="C50" xr:uid="{00000000-0002-0000-0300-000002000000}">
      <formula1>"4%,12%,20%,25%"</formula1>
    </dataValidation>
    <dataValidation type="list" allowBlank="1" showInputMessage="1" showErrorMessage="1" sqref="C27:G27 C33:G33" xr:uid="{00000000-0002-0000-0300-000003000000}">
      <formula1>"필요시 선택,상,중,하"</formula1>
    </dataValidation>
    <dataValidation allowBlank="1" showInputMessage="1" showErrorMessage="1" errorTitle="입력제한" error="60%이상 입력불가합니다." sqref="D22" xr:uid="{00000000-0002-0000-0300-000004000000}"/>
    <dataValidation type="custom" allowBlank="1" showInputMessage="1" showErrorMessage="1" sqref="C22" xr:uid="{00000000-0002-0000-0300-000005000000}">
      <formula1>(C22&lt;=10%)</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Q291"/>
  <sheetViews>
    <sheetView topLeftCell="A46" zoomScale="84" zoomScaleNormal="84" zoomScaleSheetLayoutView="100" workbookViewId="0">
      <selection activeCell="L54" sqref="L54"/>
    </sheetView>
  </sheetViews>
  <sheetFormatPr defaultColWidth="9" defaultRowHeight="27.75" customHeight="1" x14ac:dyDescent="0.4"/>
  <cols>
    <col min="1" max="1" width="2.19921875" style="9" customWidth="1"/>
    <col min="2" max="2" width="39" style="9" customWidth="1"/>
    <col min="3" max="3" width="19.796875" style="422" customWidth="1"/>
    <col min="4" max="4" width="13.19921875" style="422" customWidth="1"/>
    <col min="5" max="5" width="8.5" style="9" customWidth="1"/>
    <col min="6" max="11" width="8.69921875" style="9" customWidth="1"/>
    <col min="12" max="12" width="17.5" style="9" customWidth="1"/>
    <col min="13" max="17" width="8.69921875" style="9" customWidth="1"/>
    <col min="18" max="18" width="2.69921875" style="9" customWidth="1"/>
    <col min="19" max="20" width="8.69921875" style="9" customWidth="1"/>
    <col min="21" max="21" width="18.69921875" style="9" customWidth="1"/>
    <col min="22" max="27" width="8.69921875" style="9" customWidth="1"/>
    <col min="28" max="29" width="5.796875" style="9" customWidth="1"/>
    <col min="30" max="16384" width="9" style="9"/>
  </cols>
  <sheetData>
    <row r="1" spans="1:17" ht="27.75" customHeight="1" x14ac:dyDescent="0.4">
      <c r="B1" s="846" t="s">
        <v>61</v>
      </c>
      <c r="C1" s="846"/>
      <c r="D1" s="846"/>
      <c r="E1" s="846"/>
      <c r="F1" s="846"/>
      <c r="G1" s="846"/>
      <c r="H1" s="846"/>
      <c r="I1" s="846"/>
      <c r="J1" s="846"/>
      <c r="K1" s="846"/>
      <c r="L1" s="846"/>
      <c r="M1" s="846"/>
      <c r="N1" s="401"/>
      <c r="O1" s="401"/>
      <c r="P1" s="401"/>
      <c r="Q1" s="401"/>
    </row>
    <row r="2" spans="1:17" ht="27.75" customHeight="1" x14ac:dyDescent="0.4">
      <c r="C2" s="402"/>
      <c r="D2" s="402"/>
      <c r="E2" s="403"/>
      <c r="F2" s="403"/>
      <c r="G2" s="403"/>
      <c r="H2" s="403"/>
      <c r="I2" s="403"/>
      <c r="J2" s="403"/>
      <c r="K2" s="404"/>
      <c r="L2" s="403"/>
      <c r="M2" s="403"/>
      <c r="N2" s="403"/>
      <c r="O2" s="403"/>
      <c r="P2" s="403"/>
      <c r="Q2" s="403"/>
    </row>
    <row r="3" spans="1:17" ht="20.100000000000001" customHeight="1" x14ac:dyDescent="0.4">
      <c r="B3" s="405" t="s">
        <v>62</v>
      </c>
      <c r="C3" s="406"/>
      <c r="D3" s="406"/>
      <c r="E3" s="405"/>
      <c r="F3" s="405"/>
      <c r="G3" s="405"/>
      <c r="H3" s="405"/>
      <c r="I3" s="405"/>
      <c r="K3" s="403"/>
      <c r="L3" s="403"/>
      <c r="M3" s="403"/>
      <c r="N3" s="403"/>
      <c r="O3" s="403"/>
      <c r="P3" s="403"/>
      <c r="Q3" s="403"/>
    </row>
    <row r="4" spans="1:17" ht="20.100000000000001" customHeight="1" x14ac:dyDescent="0.4">
      <c r="B4" s="405" t="s">
        <v>63</v>
      </c>
      <c r="C4" s="407" t="s">
        <v>97</v>
      </c>
      <c r="D4" s="407"/>
      <c r="E4" s="405"/>
      <c r="F4" s="405"/>
      <c r="G4" s="405"/>
      <c r="H4" s="405"/>
      <c r="I4" s="405"/>
      <c r="K4" s="403"/>
      <c r="L4" s="403"/>
      <c r="M4" s="403"/>
      <c r="N4" s="403"/>
      <c r="O4" s="403"/>
      <c r="P4" s="403"/>
      <c r="Q4" s="403"/>
    </row>
    <row r="5" spans="1:17" ht="15.6" x14ac:dyDescent="0.4">
      <c r="B5" s="847" t="s">
        <v>64</v>
      </c>
      <c r="C5" s="847" t="s">
        <v>65</v>
      </c>
      <c r="D5" s="847" t="s">
        <v>91</v>
      </c>
      <c r="E5" s="847" t="s">
        <v>50</v>
      </c>
      <c r="F5" s="847" t="s">
        <v>51</v>
      </c>
      <c r="G5" s="847" t="s">
        <v>66</v>
      </c>
      <c r="H5" s="847" t="s">
        <v>52</v>
      </c>
      <c r="I5" s="847" t="s">
        <v>53</v>
      </c>
      <c r="J5" s="847" t="s">
        <v>67</v>
      </c>
      <c r="K5" s="847" t="s">
        <v>68</v>
      </c>
      <c r="L5" s="847" t="s">
        <v>69</v>
      </c>
      <c r="M5" s="847" t="s">
        <v>54</v>
      </c>
      <c r="N5" s="847" t="s">
        <v>55</v>
      </c>
      <c r="O5" s="847" t="s">
        <v>70</v>
      </c>
      <c r="P5" s="847" t="s">
        <v>71</v>
      </c>
      <c r="Q5" s="847" t="s">
        <v>56</v>
      </c>
    </row>
    <row r="6" spans="1:17" ht="15" customHeight="1" x14ac:dyDescent="0.4">
      <c r="B6" s="848"/>
      <c r="C6" s="848"/>
      <c r="D6" s="848"/>
      <c r="E6" s="848"/>
      <c r="F6" s="848"/>
      <c r="G6" s="848"/>
      <c r="H6" s="848"/>
      <c r="I6" s="848"/>
      <c r="J6" s="848"/>
      <c r="K6" s="848"/>
      <c r="L6" s="848"/>
      <c r="M6" s="848"/>
      <c r="N6" s="848"/>
      <c r="O6" s="848"/>
      <c r="P6" s="848"/>
      <c r="Q6" s="848"/>
    </row>
    <row r="7" spans="1:17" ht="18.75" customHeight="1" x14ac:dyDescent="0.4">
      <c r="B7" s="12"/>
      <c r="C7" s="28"/>
      <c r="D7" s="28"/>
      <c r="E7" s="13"/>
      <c r="F7" s="15"/>
      <c r="G7" s="15"/>
      <c r="H7" s="15"/>
      <c r="I7" s="15"/>
      <c r="J7" s="15"/>
      <c r="K7" s="15"/>
      <c r="L7" s="15"/>
      <c r="M7" s="15"/>
      <c r="N7" s="15"/>
      <c r="O7" s="15"/>
      <c r="P7" s="15"/>
      <c r="Q7" s="15"/>
    </row>
    <row r="8" spans="1:17" ht="78" x14ac:dyDescent="0.4">
      <c r="B8" s="12" t="s">
        <v>377</v>
      </c>
      <c r="C8" s="443" t="s">
        <v>83</v>
      </c>
      <c r="D8" s="28" t="s">
        <v>92</v>
      </c>
      <c r="E8" s="13">
        <f>SUM(F8:Q8)</f>
        <v>1</v>
      </c>
      <c r="F8" s="15">
        <v>1</v>
      </c>
      <c r="G8" s="15"/>
      <c r="H8" s="15"/>
      <c r="I8" s="15"/>
      <c r="J8" s="15"/>
      <c r="K8" s="15"/>
      <c r="L8" s="15"/>
      <c r="M8" s="15"/>
      <c r="N8" s="15"/>
      <c r="O8" s="15"/>
      <c r="P8" s="15"/>
      <c r="Q8" s="15"/>
    </row>
    <row r="9" spans="1:17" ht="78" x14ac:dyDescent="0.4">
      <c r="B9" s="12" t="s">
        <v>378</v>
      </c>
      <c r="C9" s="28" t="s">
        <v>81</v>
      </c>
      <c r="D9" s="28" t="s">
        <v>92</v>
      </c>
      <c r="E9" s="13">
        <f t="shared" ref="E9:E33" si="0">SUM(F9:Q9)</f>
        <v>1</v>
      </c>
      <c r="F9" s="15">
        <v>1</v>
      </c>
      <c r="G9" s="15"/>
      <c r="H9" s="15"/>
      <c r="I9" s="15"/>
      <c r="J9" s="15"/>
      <c r="K9" s="15"/>
      <c r="L9" s="15"/>
      <c r="M9" s="15"/>
      <c r="N9" s="15"/>
      <c r="O9" s="15"/>
      <c r="P9" s="15"/>
      <c r="Q9" s="15"/>
    </row>
    <row r="10" spans="1:17" ht="62.4" x14ac:dyDescent="0.4">
      <c r="B10" s="12" t="s">
        <v>379</v>
      </c>
      <c r="C10" s="28" t="s">
        <v>463</v>
      </c>
      <c r="D10" s="28" t="s">
        <v>92</v>
      </c>
      <c r="E10" s="13">
        <f t="shared" si="0"/>
        <v>1</v>
      </c>
      <c r="F10" s="15">
        <v>1</v>
      </c>
      <c r="G10" s="15"/>
      <c r="H10" s="15"/>
      <c r="I10" s="15"/>
      <c r="J10" s="15"/>
      <c r="K10" s="15"/>
      <c r="L10" s="15"/>
      <c r="M10" s="15"/>
      <c r="N10" s="15"/>
      <c r="O10" s="15"/>
      <c r="P10" s="15"/>
      <c r="Q10" s="15"/>
    </row>
    <row r="11" spans="1:17" ht="93.6" x14ac:dyDescent="0.4">
      <c r="B11" s="12" t="s">
        <v>380</v>
      </c>
      <c r="C11" s="28" t="s">
        <v>85</v>
      </c>
      <c r="D11" s="28" t="s">
        <v>92</v>
      </c>
      <c r="E11" s="13">
        <f t="shared" si="0"/>
        <v>1</v>
      </c>
      <c r="F11" s="15">
        <v>1</v>
      </c>
      <c r="G11" s="15"/>
      <c r="H11" s="15"/>
      <c r="I11" s="15"/>
      <c r="J11" s="15"/>
      <c r="K11" s="15"/>
      <c r="L11" s="15"/>
      <c r="M11" s="15"/>
      <c r="N11" s="15"/>
      <c r="O11" s="15"/>
      <c r="P11" s="15"/>
      <c r="Q11" s="15"/>
    </row>
    <row r="12" spans="1:17" ht="46.8" x14ac:dyDescent="0.4">
      <c r="A12" s="9" t="s">
        <v>456</v>
      </c>
      <c r="B12" s="12" t="s">
        <v>381</v>
      </c>
      <c r="C12" s="28" t="s">
        <v>95</v>
      </c>
      <c r="D12" s="28" t="s">
        <v>92</v>
      </c>
      <c r="E12" s="13">
        <f t="shared" si="0"/>
        <v>1</v>
      </c>
      <c r="F12" s="15">
        <v>1</v>
      </c>
      <c r="G12" s="15"/>
      <c r="H12" s="15"/>
      <c r="I12" s="15"/>
      <c r="J12" s="15"/>
      <c r="K12" s="15"/>
      <c r="L12" s="15"/>
      <c r="M12" s="15"/>
      <c r="N12" s="15"/>
      <c r="O12" s="15"/>
      <c r="P12" s="15"/>
      <c r="Q12" s="15"/>
    </row>
    <row r="13" spans="1:17" ht="46.8" x14ac:dyDescent="0.4">
      <c r="B13" s="12" t="s">
        <v>382</v>
      </c>
      <c r="C13" s="28" t="s">
        <v>464</v>
      </c>
      <c r="D13" s="28" t="s">
        <v>92</v>
      </c>
      <c r="E13" s="13">
        <f t="shared" si="0"/>
        <v>1</v>
      </c>
      <c r="F13" s="15">
        <v>1</v>
      </c>
      <c r="G13" s="15"/>
      <c r="H13" s="15"/>
      <c r="I13" s="15"/>
      <c r="J13" s="15"/>
      <c r="K13" s="15"/>
      <c r="L13" s="15"/>
      <c r="M13" s="15"/>
      <c r="N13" s="15"/>
      <c r="O13" s="15"/>
      <c r="P13" s="15"/>
      <c r="Q13" s="15"/>
    </row>
    <row r="14" spans="1:17" ht="62.4" x14ac:dyDescent="0.4">
      <c r="B14" s="12" t="s">
        <v>383</v>
      </c>
      <c r="C14" s="28" t="s">
        <v>465</v>
      </c>
      <c r="D14" s="28" t="s">
        <v>92</v>
      </c>
      <c r="E14" s="13">
        <f t="shared" si="0"/>
        <v>1</v>
      </c>
      <c r="F14" s="15">
        <v>1</v>
      </c>
      <c r="G14" s="15"/>
      <c r="H14" s="15"/>
      <c r="I14" s="15"/>
      <c r="J14" s="15"/>
      <c r="K14" s="15"/>
      <c r="L14" s="15"/>
      <c r="M14" s="15"/>
      <c r="N14" s="15"/>
      <c r="O14" s="15"/>
      <c r="P14" s="15"/>
      <c r="Q14" s="15"/>
    </row>
    <row r="15" spans="1:17" ht="46.8" x14ac:dyDescent="0.4">
      <c r="B15" s="12" t="s">
        <v>384</v>
      </c>
      <c r="C15" s="28" t="s">
        <v>466</v>
      </c>
      <c r="D15" s="28" t="s">
        <v>92</v>
      </c>
      <c r="E15" s="13">
        <f t="shared" si="0"/>
        <v>1</v>
      </c>
      <c r="F15" s="15">
        <v>1</v>
      </c>
      <c r="G15" s="15"/>
      <c r="H15" s="15"/>
      <c r="I15" s="15"/>
      <c r="J15" s="15"/>
      <c r="K15" s="49"/>
      <c r="L15" s="49"/>
      <c r="M15" s="49"/>
      <c r="N15" s="49"/>
      <c r="O15" s="49"/>
      <c r="P15" s="49"/>
      <c r="Q15" s="49"/>
    </row>
    <row r="16" spans="1:17" ht="62.4" x14ac:dyDescent="0.4">
      <c r="B16" s="12" t="s">
        <v>385</v>
      </c>
      <c r="C16" s="28" t="s">
        <v>467</v>
      </c>
      <c r="D16" s="28" t="s">
        <v>92</v>
      </c>
      <c r="E16" s="13">
        <f t="shared" si="0"/>
        <v>1</v>
      </c>
      <c r="F16" s="15">
        <v>1</v>
      </c>
      <c r="G16" s="15"/>
      <c r="H16" s="15"/>
      <c r="I16" s="15"/>
      <c r="J16" s="15"/>
      <c r="K16" s="15"/>
      <c r="L16" s="15"/>
      <c r="M16" s="15"/>
      <c r="N16" s="15"/>
      <c r="O16" s="15"/>
      <c r="P16" s="15"/>
      <c r="Q16" s="15"/>
    </row>
    <row r="17" spans="2:17" ht="62.4" x14ac:dyDescent="0.4">
      <c r="B17" s="12" t="s">
        <v>386</v>
      </c>
      <c r="C17" s="28" t="s">
        <v>468</v>
      </c>
      <c r="D17" s="28" t="s">
        <v>92</v>
      </c>
      <c r="E17" s="13">
        <f t="shared" si="0"/>
        <v>1</v>
      </c>
      <c r="F17" s="15">
        <v>1</v>
      </c>
      <c r="G17" s="15"/>
      <c r="H17" s="15"/>
      <c r="I17" s="15"/>
      <c r="J17" s="15"/>
      <c r="K17" s="15"/>
      <c r="L17" s="15"/>
      <c r="M17" s="15"/>
      <c r="N17" s="15"/>
      <c r="O17" s="15"/>
      <c r="P17" s="15"/>
      <c r="Q17" s="15"/>
    </row>
    <row r="18" spans="2:17" ht="15.6" x14ac:dyDescent="0.4">
      <c r="B18" s="12"/>
      <c r="C18" s="28" t="s">
        <v>469</v>
      </c>
      <c r="D18" s="28" t="s">
        <v>92</v>
      </c>
      <c r="E18" s="13">
        <f t="shared" si="0"/>
        <v>1</v>
      </c>
      <c r="F18" s="15">
        <v>1</v>
      </c>
      <c r="G18" s="15"/>
      <c r="H18" s="15"/>
      <c r="I18" s="15"/>
      <c r="J18" s="15"/>
      <c r="K18" s="15"/>
      <c r="L18" s="15"/>
      <c r="M18" s="15"/>
      <c r="N18" s="15"/>
      <c r="O18" s="15"/>
      <c r="P18" s="15"/>
      <c r="Q18" s="15"/>
    </row>
    <row r="19" spans="2:17" ht="15.6" x14ac:dyDescent="0.4">
      <c r="B19" s="12"/>
      <c r="C19" s="28" t="s">
        <v>470</v>
      </c>
      <c r="D19" s="28" t="s">
        <v>92</v>
      </c>
      <c r="E19" s="13">
        <f t="shared" si="0"/>
        <v>1</v>
      </c>
      <c r="F19" s="15">
        <v>1</v>
      </c>
      <c r="G19" s="15"/>
      <c r="H19" s="15"/>
      <c r="I19" s="15"/>
      <c r="J19" s="15"/>
      <c r="K19" s="15"/>
      <c r="L19" s="15"/>
      <c r="M19" s="15"/>
      <c r="N19" s="15"/>
      <c r="O19" s="15"/>
      <c r="P19" s="15"/>
      <c r="Q19" s="15"/>
    </row>
    <row r="20" spans="2:17" ht="15.6" x14ac:dyDescent="0.4">
      <c r="B20" s="12"/>
      <c r="C20" s="28" t="s">
        <v>471</v>
      </c>
      <c r="D20" s="28" t="s">
        <v>92</v>
      </c>
      <c r="E20" s="13">
        <f t="shared" si="0"/>
        <v>1</v>
      </c>
      <c r="F20" s="15">
        <v>1</v>
      </c>
      <c r="G20" s="15"/>
      <c r="H20" s="15"/>
      <c r="I20" s="15"/>
      <c r="J20" s="15"/>
      <c r="K20" s="15"/>
      <c r="L20" s="15"/>
      <c r="M20" s="15"/>
      <c r="N20" s="15"/>
      <c r="O20" s="15"/>
      <c r="P20" s="15"/>
      <c r="Q20" s="15"/>
    </row>
    <row r="21" spans="2:17" ht="15.6" x14ac:dyDescent="0.4">
      <c r="B21" s="12"/>
      <c r="C21" s="28" t="s">
        <v>94</v>
      </c>
      <c r="D21" s="28" t="s">
        <v>92</v>
      </c>
      <c r="E21" s="13">
        <f t="shared" si="0"/>
        <v>1</v>
      </c>
      <c r="F21" s="15">
        <v>1</v>
      </c>
      <c r="G21" s="15"/>
      <c r="H21" s="15"/>
      <c r="I21" s="15"/>
      <c r="J21" s="15"/>
      <c r="K21" s="15"/>
      <c r="L21" s="15"/>
      <c r="M21" s="15"/>
      <c r="N21" s="15"/>
      <c r="O21" s="15"/>
      <c r="P21" s="15"/>
      <c r="Q21" s="15"/>
    </row>
    <row r="22" spans="2:17" ht="15.6" x14ac:dyDescent="0.4">
      <c r="B22" s="12"/>
      <c r="C22" s="28" t="s">
        <v>96</v>
      </c>
      <c r="D22" s="28" t="s">
        <v>92</v>
      </c>
      <c r="E22" s="13">
        <f t="shared" si="0"/>
        <v>1</v>
      </c>
      <c r="F22" s="15">
        <v>1</v>
      </c>
      <c r="G22" s="15"/>
      <c r="H22" s="15"/>
      <c r="I22" s="15"/>
      <c r="J22" s="15"/>
      <c r="K22" s="15"/>
      <c r="L22" s="15"/>
      <c r="M22" s="15"/>
      <c r="N22" s="15"/>
      <c r="O22" s="15"/>
      <c r="P22" s="15"/>
      <c r="Q22" s="15"/>
    </row>
    <row r="23" spans="2:17" ht="15.6" x14ac:dyDescent="0.4">
      <c r="B23" s="12"/>
      <c r="C23" s="28" t="s">
        <v>82</v>
      </c>
      <c r="D23" s="28" t="s">
        <v>92</v>
      </c>
      <c r="E23" s="13">
        <f t="shared" si="0"/>
        <v>1</v>
      </c>
      <c r="F23" s="15">
        <v>1</v>
      </c>
      <c r="G23" s="15"/>
      <c r="H23" s="15"/>
      <c r="I23" s="15"/>
      <c r="J23" s="15"/>
      <c r="K23" s="15"/>
      <c r="L23" s="15"/>
      <c r="M23" s="15"/>
      <c r="N23" s="15"/>
      <c r="O23" s="15"/>
      <c r="P23" s="15"/>
      <c r="Q23" s="15"/>
    </row>
    <row r="24" spans="2:17" ht="15.6" x14ac:dyDescent="0.4">
      <c r="B24" s="12"/>
      <c r="C24" s="28" t="s">
        <v>472</v>
      </c>
      <c r="D24" s="28" t="s">
        <v>92</v>
      </c>
      <c r="E24" s="13">
        <f t="shared" si="0"/>
        <v>1</v>
      </c>
      <c r="F24" s="15">
        <v>1</v>
      </c>
      <c r="G24" s="15"/>
      <c r="H24" s="15"/>
      <c r="I24" s="15"/>
      <c r="J24" s="15"/>
      <c r="K24" s="15"/>
      <c r="L24" s="15"/>
      <c r="M24" s="15"/>
      <c r="N24" s="15"/>
      <c r="O24" s="15"/>
      <c r="P24" s="15"/>
      <c r="Q24" s="15"/>
    </row>
    <row r="25" spans="2:17" ht="15.6" x14ac:dyDescent="0.4">
      <c r="B25" s="50"/>
      <c r="C25" s="28" t="s">
        <v>83</v>
      </c>
      <c r="D25" s="28" t="s">
        <v>92</v>
      </c>
      <c r="E25" s="13">
        <f t="shared" si="0"/>
        <v>0</v>
      </c>
      <c r="F25" s="15"/>
      <c r="G25" s="15"/>
      <c r="H25" s="15"/>
      <c r="I25" s="15"/>
      <c r="J25" s="15"/>
      <c r="K25" s="15"/>
      <c r="L25" s="15"/>
      <c r="M25" s="15"/>
      <c r="N25" s="15"/>
      <c r="O25" s="15"/>
      <c r="P25" s="15"/>
      <c r="Q25" s="15"/>
    </row>
    <row r="26" spans="2:17" ht="15.6" x14ac:dyDescent="0.4">
      <c r="B26" s="12"/>
      <c r="C26" s="28" t="s">
        <v>83</v>
      </c>
      <c r="D26" s="28" t="s">
        <v>92</v>
      </c>
      <c r="E26" s="13">
        <f t="shared" si="0"/>
        <v>0</v>
      </c>
      <c r="F26" s="15"/>
      <c r="G26" s="15"/>
      <c r="H26" s="15"/>
      <c r="I26" s="15"/>
      <c r="J26" s="15"/>
      <c r="K26" s="15"/>
      <c r="L26" s="15"/>
      <c r="M26" s="15"/>
      <c r="N26" s="15"/>
      <c r="O26" s="15"/>
      <c r="P26" s="15"/>
      <c r="Q26" s="15"/>
    </row>
    <row r="27" spans="2:17" ht="15.6" x14ac:dyDescent="0.4">
      <c r="B27" s="12"/>
      <c r="C27" s="28" t="s">
        <v>83</v>
      </c>
      <c r="D27" s="28" t="s">
        <v>92</v>
      </c>
      <c r="E27" s="13">
        <f t="shared" si="0"/>
        <v>0</v>
      </c>
      <c r="F27" s="15"/>
      <c r="G27" s="15"/>
      <c r="H27" s="15"/>
      <c r="I27" s="15"/>
      <c r="J27" s="15"/>
      <c r="K27" s="15"/>
      <c r="L27" s="15"/>
      <c r="M27" s="15"/>
      <c r="N27" s="15"/>
      <c r="O27" s="15"/>
      <c r="P27" s="15"/>
      <c r="Q27" s="15"/>
    </row>
    <row r="28" spans="2:17" ht="15.6" x14ac:dyDescent="0.4">
      <c r="B28" s="12"/>
      <c r="C28" s="28" t="s">
        <v>83</v>
      </c>
      <c r="D28" s="28" t="s">
        <v>92</v>
      </c>
      <c r="E28" s="13">
        <f t="shared" si="0"/>
        <v>0</v>
      </c>
      <c r="F28" s="15"/>
      <c r="G28" s="15"/>
      <c r="H28" s="15"/>
      <c r="I28" s="15"/>
      <c r="J28" s="15"/>
      <c r="K28" s="15"/>
      <c r="L28" s="15"/>
      <c r="M28" s="15"/>
      <c r="N28" s="15"/>
      <c r="O28" s="15"/>
      <c r="P28" s="15"/>
      <c r="Q28" s="15"/>
    </row>
    <row r="29" spans="2:17" ht="15.6" x14ac:dyDescent="0.4">
      <c r="B29" s="12"/>
      <c r="C29" s="28" t="s">
        <v>83</v>
      </c>
      <c r="D29" s="28" t="s">
        <v>92</v>
      </c>
      <c r="E29" s="13">
        <f t="shared" si="0"/>
        <v>0</v>
      </c>
      <c r="F29" s="15"/>
      <c r="G29" s="15"/>
      <c r="H29" s="15"/>
      <c r="I29" s="15"/>
      <c r="J29" s="15"/>
      <c r="K29" s="15"/>
      <c r="L29" s="15"/>
      <c r="M29" s="15"/>
      <c r="N29" s="15"/>
      <c r="O29" s="15"/>
      <c r="P29" s="15"/>
      <c r="Q29" s="15"/>
    </row>
    <row r="30" spans="2:17" ht="15.6" x14ac:dyDescent="0.4">
      <c r="B30" s="12"/>
      <c r="C30" s="28" t="s">
        <v>83</v>
      </c>
      <c r="D30" s="28" t="s">
        <v>92</v>
      </c>
      <c r="E30" s="13">
        <f t="shared" si="0"/>
        <v>0</v>
      </c>
      <c r="F30" s="15"/>
      <c r="G30" s="15"/>
      <c r="H30" s="15"/>
      <c r="I30" s="15"/>
      <c r="J30" s="15"/>
      <c r="K30" s="15"/>
      <c r="L30" s="15"/>
      <c r="M30" s="15"/>
      <c r="N30" s="15"/>
      <c r="O30" s="15"/>
      <c r="P30" s="15"/>
      <c r="Q30" s="15"/>
    </row>
    <row r="31" spans="2:17" ht="15.6" x14ac:dyDescent="0.4">
      <c r="B31" s="50"/>
      <c r="C31" s="28" t="s">
        <v>83</v>
      </c>
      <c r="D31" s="28" t="s">
        <v>92</v>
      </c>
      <c r="E31" s="13">
        <f t="shared" si="0"/>
        <v>0</v>
      </c>
      <c r="F31" s="15"/>
      <c r="G31" s="15"/>
      <c r="H31" s="15"/>
      <c r="I31" s="15"/>
      <c r="J31" s="15"/>
      <c r="K31" s="15"/>
      <c r="L31" s="15"/>
      <c r="M31" s="15"/>
      <c r="N31" s="15"/>
      <c r="O31" s="15"/>
      <c r="P31" s="15"/>
      <c r="Q31" s="15"/>
    </row>
    <row r="32" spans="2:17" ht="15.6" x14ac:dyDescent="0.4">
      <c r="B32" s="12"/>
      <c r="C32" s="28" t="s">
        <v>83</v>
      </c>
      <c r="D32" s="28" t="s">
        <v>92</v>
      </c>
      <c r="E32" s="13">
        <f t="shared" si="0"/>
        <v>0</v>
      </c>
      <c r="F32" s="15"/>
      <c r="G32" s="15"/>
      <c r="H32" s="15"/>
      <c r="I32" s="15"/>
      <c r="J32" s="15"/>
      <c r="K32" s="15"/>
      <c r="L32" s="15"/>
      <c r="M32" s="15"/>
      <c r="N32" s="15"/>
      <c r="O32" s="15"/>
      <c r="P32" s="15"/>
      <c r="Q32" s="15"/>
    </row>
    <row r="33" spans="2:17" ht="15.6" x14ac:dyDescent="0.4">
      <c r="B33" s="12"/>
      <c r="C33" s="28" t="s">
        <v>83</v>
      </c>
      <c r="D33" s="28" t="s">
        <v>92</v>
      </c>
      <c r="E33" s="13">
        <f t="shared" si="0"/>
        <v>0</v>
      </c>
      <c r="F33" s="15"/>
      <c r="G33" s="15"/>
      <c r="H33" s="15"/>
      <c r="I33" s="15"/>
      <c r="J33" s="15"/>
      <c r="K33" s="15"/>
      <c r="L33" s="15"/>
      <c r="M33" s="15"/>
      <c r="N33" s="15"/>
      <c r="O33" s="15"/>
      <c r="P33" s="15"/>
      <c r="Q33" s="15"/>
    </row>
    <row r="34" spans="2:17" ht="15.6" x14ac:dyDescent="0.4">
      <c r="B34" s="12"/>
      <c r="C34" s="28" t="s">
        <v>83</v>
      </c>
      <c r="D34" s="28" t="s">
        <v>92</v>
      </c>
      <c r="E34" s="13">
        <f t="shared" ref="E34" si="1">SUM(F34:Q34)</f>
        <v>0</v>
      </c>
      <c r="F34" s="15"/>
      <c r="G34" s="36"/>
      <c r="H34" s="36"/>
      <c r="I34" s="36"/>
      <c r="J34" s="36"/>
      <c r="K34" s="36"/>
      <c r="L34" s="36"/>
      <c r="M34" s="36"/>
      <c r="N34" s="36"/>
      <c r="O34" s="36"/>
      <c r="P34" s="36"/>
      <c r="Q34" s="36"/>
    </row>
    <row r="35" spans="2:17" ht="15.6" x14ac:dyDescent="0.4">
      <c r="B35" s="12"/>
      <c r="C35" s="28" t="s">
        <v>83</v>
      </c>
      <c r="D35" s="28" t="s">
        <v>92</v>
      </c>
      <c r="E35" s="13">
        <f t="shared" ref="E35:E39" si="2">SUM(F35:Q35)</f>
        <v>0</v>
      </c>
      <c r="F35" s="15"/>
      <c r="G35" s="36"/>
      <c r="H35" s="36"/>
      <c r="I35" s="36"/>
      <c r="J35" s="36"/>
      <c r="K35" s="36"/>
      <c r="L35" s="36"/>
      <c r="M35" s="36"/>
      <c r="N35" s="36"/>
      <c r="O35" s="36"/>
      <c r="P35" s="36"/>
      <c r="Q35" s="36"/>
    </row>
    <row r="36" spans="2:17" ht="15.6" x14ac:dyDescent="0.4">
      <c r="B36" s="12"/>
      <c r="C36" s="28" t="s">
        <v>83</v>
      </c>
      <c r="D36" s="28" t="s">
        <v>92</v>
      </c>
      <c r="E36" s="13">
        <f t="shared" si="2"/>
        <v>0</v>
      </c>
      <c r="F36" s="15"/>
      <c r="G36" s="15"/>
      <c r="H36" s="15"/>
      <c r="I36" s="15"/>
      <c r="J36" s="15"/>
      <c r="K36" s="15"/>
      <c r="L36" s="15"/>
      <c r="M36" s="15"/>
      <c r="N36" s="15"/>
      <c r="O36" s="15"/>
      <c r="P36" s="15"/>
      <c r="Q36" s="15"/>
    </row>
    <row r="37" spans="2:17" ht="15.6" x14ac:dyDescent="0.4">
      <c r="B37" s="12"/>
      <c r="C37" s="28" t="s">
        <v>83</v>
      </c>
      <c r="D37" s="28" t="s">
        <v>92</v>
      </c>
      <c r="E37" s="13">
        <f t="shared" si="2"/>
        <v>0</v>
      </c>
      <c r="F37" s="15"/>
      <c r="G37" s="15"/>
      <c r="H37" s="15"/>
      <c r="I37" s="15"/>
      <c r="J37" s="15"/>
      <c r="K37" s="15"/>
      <c r="L37" s="15"/>
      <c r="M37" s="15"/>
      <c r="N37" s="15"/>
      <c r="O37" s="15"/>
      <c r="P37" s="15"/>
      <c r="Q37" s="15"/>
    </row>
    <row r="38" spans="2:17" ht="15.6" x14ac:dyDescent="0.4">
      <c r="B38" s="12"/>
      <c r="C38" s="28" t="s">
        <v>83</v>
      </c>
      <c r="D38" s="28" t="s">
        <v>92</v>
      </c>
      <c r="E38" s="13">
        <f t="shared" si="2"/>
        <v>0</v>
      </c>
      <c r="F38" s="15"/>
      <c r="G38" s="15"/>
      <c r="H38" s="15"/>
      <c r="I38" s="15"/>
      <c r="J38" s="15"/>
      <c r="K38" s="15"/>
      <c r="L38" s="15"/>
      <c r="M38" s="15"/>
      <c r="N38" s="15"/>
      <c r="O38" s="15"/>
      <c r="P38" s="15"/>
      <c r="Q38" s="15"/>
    </row>
    <row r="39" spans="2:17" ht="15.6" x14ac:dyDescent="0.4">
      <c r="B39" s="12"/>
      <c r="C39" s="28" t="s">
        <v>83</v>
      </c>
      <c r="D39" s="28" t="s">
        <v>92</v>
      </c>
      <c r="E39" s="13">
        <f t="shared" si="2"/>
        <v>0</v>
      </c>
      <c r="F39" s="15"/>
      <c r="G39" s="15"/>
      <c r="H39" s="15"/>
      <c r="I39" s="15"/>
      <c r="J39" s="15"/>
      <c r="K39" s="15"/>
      <c r="L39" s="15"/>
      <c r="M39" s="15"/>
      <c r="N39" s="15"/>
      <c r="O39" s="15"/>
      <c r="P39" s="15"/>
      <c r="Q39" s="15"/>
    </row>
    <row r="40" spans="2:17" ht="15.6" x14ac:dyDescent="0.4">
      <c r="B40" s="408"/>
      <c r="C40" s="409"/>
      <c r="D40" s="409"/>
      <c r="E40" s="410">
        <f>SUM(E8:E39)</f>
        <v>17</v>
      </c>
      <c r="F40" s="411">
        <f t="shared" ref="F40:Q40" si="3">SUM(F7:F39)</f>
        <v>17</v>
      </c>
      <c r="G40" s="411">
        <f t="shared" si="3"/>
        <v>0</v>
      </c>
      <c r="H40" s="411">
        <f t="shared" si="3"/>
        <v>0</v>
      </c>
      <c r="I40" s="411">
        <f t="shared" si="3"/>
        <v>0</v>
      </c>
      <c r="J40" s="411">
        <f t="shared" si="3"/>
        <v>0</v>
      </c>
      <c r="K40" s="411">
        <f t="shared" si="3"/>
        <v>0</v>
      </c>
      <c r="L40" s="411">
        <f t="shared" si="3"/>
        <v>0</v>
      </c>
      <c r="M40" s="411">
        <f t="shared" si="3"/>
        <v>0</v>
      </c>
      <c r="N40" s="411">
        <f t="shared" si="3"/>
        <v>0</v>
      </c>
      <c r="O40" s="411">
        <f t="shared" si="3"/>
        <v>0</v>
      </c>
      <c r="P40" s="411">
        <f t="shared" si="3"/>
        <v>0</v>
      </c>
      <c r="Q40" s="411">
        <f t="shared" si="3"/>
        <v>0</v>
      </c>
    </row>
    <row r="41" spans="2:17" ht="27.75" customHeight="1" x14ac:dyDescent="0.4">
      <c r="C41" s="402" t="s">
        <v>72</v>
      </c>
      <c r="D41" s="402"/>
      <c r="E41" s="403"/>
      <c r="F41" s="403"/>
      <c r="G41" s="403"/>
      <c r="H41" s="403"/>
      <c r="I41" s="403"/>
      <c r="J41" s="403"/>
      <c r="K41" s="403"/>
      <c r="L41" s="412"/>
      <c r="M41" s="403"/>
      <c r="N41" s="403"/>
      <c r="O41" s="413"/>
      <c r="P41" s="403"/>
      <c r="Q41" s="414"/>
    </row>
    <row r="42" spans="2:17" ht="27.75" customHeight="1" x14ac:dyDescent="0.4">
      <c r="B42" s="14" t="s">
        <v>73</v>
      </c>
      <c r="C42" s="27"/>
      <c r="D42" s="27"/>
      <c r="E42" s="10"/>
      <c r="F42" s="10"/>
      <c r="G42" s="10"/>
      <c r="H42" s="10"/>
      <c r="I42" s="11"/>
      <c r="J42" s="415"/>
      <c r="L42" s="415"/>
      <c r="M42" s="415"/>
      <c r="N42" s="415"/>
      <c r="O42" s="416"/>
      <c r="P42" s="415"/>
      <c r="Q42" s="415"/>
    </row>
    <row r="43" spans="2:17" ht="16.5" customHeight="1" x14ac:dyDescent="0.4">
      <c r="B43" s="400" t="s">
        <v>74</v>
      </c>
      <c r="C43" s="400" t="s">
        <v>75</v>
      </c>
      <c r="D43" s="400" t="s">
        <v>93</v>
      </c>
      <c r="E43" s="854" t="s">
        <v>87</v>
      </c>
      <c r="F43" s="855"/>
      <c r="G43" s="856"/>
      <c r="H43" s="844" t="s">
        <v>88</v>
      </c>
      <c r="I43" s="844"/>
    </row>
    <row r="44" spans="2:17" ht="17.399999999999999" x14ac:dyDescent="0.4">
      <c r="B44" s="423" t="s">
        <v>83</v>
      </c>
      <c r="C44" s="399">
        <f t="shared" ref="C44:C60" si="4">SUMIFS($E$7:$E$40,$D$7:$D$40,"공통",$C$7:$C$40, "="&amp;B44)</f>
        <v>1</v>
      </c>
      <c r="D44" s="35">
        <f>VLOOKUP(B44,'※참조_사업 단가'!$A$4:E20,5,0)</f>
        <v>19484062.079999998</v>
      </c>
      <c r="E44" s="849">
        <f>C44*D44</f>
        <v>19484062.079999998</v>
      </c>
      <c r="F44" s="850"/>
      <c r="G44" s="851"/>
      <c r="H44" s="845">
        <f>F61/C61</f>
        <v>14035294.117647059</v>
      </c>
      <c r="I44" s="844"/>
      <c r="M44" s="459"/>
    </row>
    <row r="45" spans="2:17" ht="17.399999999999999" x14ac:dyDescent="0.4">
      <c r="B45" s="423" t="s">
        <v>81</v>
      </c>
      <c r="C45" s="399">
        <f t="shared" si="4"/>
        <v>1</v>
      </c>
      <c r="D45" s="35">
        <f>VLOOKUP(B45,'※참조_사업 단가'!$A$4:E21,5,0)</f>
        <v>16306113.6</v>
      </c>
      <c r="E45" s="849">
        <f t="shared" ref="E45:E60" si="5">C45*D45</f>
        <v>16306113.6</v>
      </c>
      <c r="F45" s="850"/>
      <c r="G45" s="851"/>
      <c r="H45" s="844"/>
      <c r="I45" s="844"/>
      <c r="L45" s="417"/>
      <c r="M45" s="459"/>
    </row>
    <row r="46" spans="2:17" ht="17.399999999999999" x14ac:dyDescent="0.4">
      <c r="B46" s="423" t="s">
        <v>463</v>
      </c>
      <c r="C46" s="399">
        <f t="shared" si="4"/>
        <v>1</v>
      </c>
      <c r="D46" s="35">
        <f>VLOOKUP(B46,'※참조_사업 단가'!$A$4:E22,5,0)</f>
        <v>15115563.119999999</v>
      </c>
      <c r="E46" s="849">
        <f t="shared" si="5"/>
        <v>15115563.119999999</v>
      </c>
      <c r="F46" s="850"/>
      <c r="G46" s="851"/>
      <c r="H46" s="844"/>
      <c r="I46" s="844"/>
      <c r="M46" s="459"/>
    </row>
    <row r="47" spans="2:17" ht="17.399999999999999" x14ac:dyDescent="0.4">
      <c r="B47" s="423" t="s">
        <v>85</v>
      </c>
      <c r="C47" s="399">
        <f t="shared" si="4"/>
        <v>1</v>
      </c>
      <c r="D47" s="35">
        <f>VLOOKUP(B47,'※참조_사업 단가'!$A$4:E23,5,0)</f>
        <v>13021987.439999999</v>
      </c>
      <c r="E47" s="849">
        <f t="shared" si="5"/>
        <v>13021987.439999999</v>
      </c>
      <c r="F47" s="850"/>
      <c r="G47" s="851"/>
      <c r="H47" s="844"/>
      <c r="I47" s="844"/>
      <c r="M47" s="459"/>
    </row>
    <row r="48" spans="2:17" ht="17.399999999999999" x14ac:dyDescent="0.4">
      <c r="B48" s="423" t="s">
        <v>95</v>
      </c>
      <c r="C48" s="399">
        <f t="shared" si="4"/>
        <v>1</v>
      </c>
      <c r="D48" s="35">
        <f>VLOOKUP(B48,'※참조_사업 단가'!$A$4:E24,5,0)</f>
        <v>15364394.640000001</v>
      </c>
      <c r="E48" s="849">
        <f t="shared" si="5"/>
        <v>15364394.640000001</v>
      </c>
      <c r="F48" s="850"/>
      <c r="G48" s="851"/>
      <c r="H48" s="844"/>
      <c r="I48" s="844"/>
      <c r="M48" s="459"/>
    </row>
    <row r="49" spans="2:13" ht="17.399999999999999" x14ac:dyDescent="0.4">
      <c r="B49" s="423" t="s">
        <v>464</v>
      </c>
      <c r="C49" s="399">
        <f t="shared" si="4"/>
        <v>1</v>
      </c>
      <c r="D49" s="35">
        <f>VLOOKUP(B49,'※참조_사업 단가'!$A$4:E25,5,0)</f>
        <v>17048211.600000001</v>
      </c>
      <c r="E49" s="849">
        <f t="shared" si="5"/>
        <v>17048211.600000001</v>
      </c>
      <c r="F49" s="850"/>
      <c r="G49" s="851"/>
      <c r="H49" s="844"/>
      <c r="I49" s="844"/>
      <c r="L49" s="417"/>
      <c r="M49" s="459"/>
    </row>
    <row r="50" spans="2:13" ht="17.399999999999999" x14ac:dyDescent="0.4">
      <c r="B50" s="423" t="s">
        <v>465</v>
      </c>
      <c r="C50" s="399">
        <f t="shared" si="4"/>
        <v>1</v>
      </c>
      <c r="D50" s="35">
        <f>VLOOKUP(B50,'※참조_사업 단가'!$A$4:E26,5,0)</f>
        <v>11301796.800000001</v>
      </c>
      <c r="E50" s="849">
        <f t="shared" si="5"/>
        <v>11301796.800000001</v>
      </c>
      <c r="F50" s="850"/>
      <c r="G50" s="851"/>
      <c r="H50" s="844"/>
      <c r="I50" s="844"/>
      <c r="M50" s="459"/>
    </row>
    <row r="51" spans="2:13" ht="17.399999999999999" x14ac:dyDescent="0.4">
      <c r="B51" s="423" t="s">
        <v>466</v>
      </c>
      <c r="C51" s="399">
        <f t="shared" si="4"/>
        <v>1</v>
      </c>
      <c r="D51" s="35">
        <f>VLOOKUP(B51,'※참조_사업 단가'!$A$4:E27,5,0)</f>
        <v>8696021.0399999991</v>
      </c>
      <c r="E51" s="849">
        <f t="shared" si="5"/>
        <v>8696021.0399999991</v>
      </c>
      <c r="F51" s="850"/>
      <c r="G51" s="851"/>
      <c r="H51" s="844"/>
      <c r="I51" s="844"/>
      <c r="M51" s="459"/>
    </row>
    <row r="52" spans="2:13" ht="17.399999999999999" x14ac:dyDescent="0.4">
      <c r="B52" s="423" t="s">
        <v>467</v>
      </c>
      <c r="C52" s="399">
        <f t="shared" si="4"/>
        <v>1</v>
      </c>
      <c r="D52" s="35">
        <f>VLOOKUP(B52,'※참조_사업 단가'!$A$4:E28,5,0)</f>
        <v>11665007.76</v>
      </c>
      <c r="E52" s="849">
        <f t="shared" si="5"/>
        <v>11665007.76</v>
      </c>
      <c r="F52" s="850"/>
      <c r="G52" s="851"/>
      <c r="H52" s="844"/>
      <c r="I52" s="844"/>
      <c r="M52" s="459"/>
    </row>
    <row r="53" spans="2:13" ht="17.399999999999999" x14ac:dyDescent="0.4">
      <c r="B53" s="423" t="s">
        <v>468</v>
      </c>
      <c r="C53" s="399">
        <f t="shared" si="4"/>
        <v>1</v>
      </c>
      <c r="D53" s="35">
        <f>VLOOKUP(B53,'※참조_사업 단가'!$A$4:E29,5,0)</f>
        <v>10246390.560000001</v>
      </c>
      <c r="E53" s="849">
        <f t="shared" si="5"/>
        <v>10246390.560000001</v>
      </c>
      <c r="F53" s="850"/>
      <c r="G53" s="851"/>
      <c r="H53" s="844"/>
      <c r="I53" s="844"/>
      <c r="M53" s="459"/>
    </row>
    <row r="54" spans="2:13" ht="17.399999999999999" x14ac:dyDescent="0.4">
      <c r="B54" s="423" t="s">
        <v>469</v>
      </c>
      <c r="C54" s="399">
        <f t="shared" si="4"/>
        <v>1</v>
      </c>
      <c r="D54" s="35">
        <f>VLOOKUP(B54,'※참조_사업 단가'!$A$4:E30,5,0)</f>
        <v>17059771.68</v>
      </c>
      <c r="E54" s="849">
        <f t="shared" si="5"/>
        <v>17059771.68</v>
      </c>
      <c r="F54" s="850"/>
      <c r="G54" s="851"/>
      <c r="H54" s="844"/>
      <c r="I54" s="844"/>
      <c r="M54" s="459"/>
    </row>
    <row r="55" spans="2:13" ht="17.399999999999999" x14ac:dyDescent="0.4">
      <c r="B55" s="423" t="s">
        <v>470</v>
      </c>
      <c r="C55" s="399">
        <f t="shared" si="4"/>
        <v>1</v>
      </c>
      <c r="D55" s="35">
        <f>VLOOKUP(B55,'※참조_사업 단가'!$A$4:E31,5,0)</f>
        <v>8497475.2799999993</v>
      </c>
      <c r="E55" s="849">
        <f t="shared" si="5"/>
        <v>8497475.2799999993</v>
      </c>
      <c r="F55" s="850"/>
      <c r="G55" s="851"/>
      <c r="H55" s="844"/>
      <c r="I55" s="844"/>
      <c r="M55" s="459"/>
    </row>
    <row r="56" spans="2:13" ht="17.399999999999999" x14ac:dyDescent="0.4">
      <c r="B56" s="423" t="s">
        <v>471</v>
      </c>
      <c r="C56" s="399">
        <f t="shared" si="4"/>
        <v>1</v>
      </c>
      <c r="D56" s="35">
        <f>VLOOKUP(B56,'※참조_사업 단가'!$A$4:E32,5,0)</f>
        <v>18575116.559999999</v>
      </c>
      <c r="E56" s="849">
        <f t="shared" si="5"/>
        <v>18575116.559999999</v>
      </c>
      <c r="F56" s="850"/>
      <c r="G56" s="851"/>
      <c r="H56" s="844"/>
      <c r="I56" s="844"/>
      <c r="M56" s="459"/>
    </row>
    <row r="57" spans="2:13" ht="17.399999999999999" x14ac:dyDescent="0.4">
      <c r="B57" s="423" t="s">
        <v>94</v>
      </c>
      <c r="C57" s="399">
        <f t="shared" si="4"/>
        <v>1</v>
      </c>
      <c r="D57" s="35">
        <f>VLOOKUP(B57,'※참조_사업 단가'!$A$4:E33,5,0)</f>
        <v>16282717.92</v>
      </c>
      <c r="E57" s="849">
        <f t="shared" si="5"/>
        <v>16282717.92</v>
      </c>
      <c r="F57" s="850"/>
      <c r="G57" s="851"/>
      <c r="H57" s="844"/>
      <c r="I57" s="844"/>
      <c r="M57" s="459"/>
    </row>
    <row r="58" spans="2:13" ht="17.399999999999999" x14ac:dyDescent="0.4">
      <c r="B58" s="423" t="s">
        <v>96</v>
      </c>
      <c r="C58" s="399">
        <f t="shared" si="4"/>
        <v>1</v>
      </c>
      <c r="D58" s="35">
        <f>VLOOKUP(B58,'※참조_사업 단가'!$A$4:E34,5,0)</f>
        <v>5998535.7599999998</v>
      </c>
      <c r="E58" s="849">
        <f t="shared" si="5"/>
        <v>5998535.7599999998</v>
      </c>
      <c r="F58" s="850"/>
      <c r="G58" s="851"/>
      <c r="H58" s="844"/>
      <c r="I58" s="844"/>
      <c r="M58" s="459"/>
    </row>
    <row r="59" spans="2:13" ht="17.399999999999999" x14ac:dyDescent="0.4">
      <c r="B59" s="423" t="s">
        <v>82</v>
      </c>
      <c r="C59" s="399">
        <f t="shared" si="4"/>
        <v>1</v>
      </c>
      <c r="D59" s="35">
        <f>VLOOKUP(B59,'※참조_사업 단가'!$A$4:E35,5,0)</f>
        <v>17390311.68</v>
      </c>
      <c r="E59" s="849">
        <f t="shared" si="5"/>
        <v>17390311.68</v>
      </c>
      <c r="F59" s="850"/>
      <c r="G59" s="851"/>
      <c r="H59" s="844"/>
      <c r="I59" s="844"/>
      <c r="M59" s="459"/>
    </row>
    <row r="60" spans="2:13" ht="17.399999999999999" x14ac:dyDescent="0.4">
      <c r="B60" s="423" t="s">
        <v>472</v>
      </c>
      <c r="C60" s="399">
        <f t="shared" si="4"/>
        <v>1</v>
      </c>
      <c r="D60" s="35">
        <f>VLOOKUP(B60,'※참조_사업 단가'!$A$4:E36,5,0)</f>
        <v>16559928</v>
      </c>
      <c r="E60" s="849">
        <f t="shared" si="5"/>
        <v>16559928</v>
      </c>
      <c r="F60" s="850"/>
      <c r="G60" s="851"/>
      <c r="H60" s="844"/>
      <c r="I60" s="844"/>
      <c r="M60" s="459"/>
    </row>
    <row r="61" spans="2:13" ht="17.399999999999999" x14ac:dyDescent="0.4">
      <c r="B61" s="32" t="s">
        <v>89</v>
      </c>
      <c r="C61" s="33">
        <f>SUM(C44:C60)</f>
        <v>17</v>
      </c>
      <c r="D61" s="33"/>
      <c r="E61" s="32" t="s">
        <v>90</v>
      </c>
      <c r="F61" s="852">
        <f>TRUNC(SUM(E44:G60),-5)</f>
        <v>238600000</v>
      </c>
      <c r="G61" s="853"/>
      <c r="H61" s="844"/>
      <c r="I61" s="844"/>
    </row>
    <row r="62" spans="2:13" ht="17.25" customHeight="1" x14ac:dyDescent="0.4">
      <c r="B62" s="34" t="s">
        <v>76</v>
      </c>
      <c r="C62" s="860">
        <f>'1.필수작성'!G16</f>
        <v>100000000</v>
      </c>
      <c r="D62" s="860"/>
      <c r="E62" s="860"/>
      <c r="F62" s="843"/>
      <c r="G62" s="843"/>
      <c r="H62" s="843"/>
      <c r="I62" s="843"/>
    </row>
    <row r="63" spans="2:13" ht="17.25" customHeight="1" x14ac:dyDescent="0.4">
      <c r="B63" s="861" t="s">
        <v>77</v>
      </c>
      <c r="C63" s="861"/>
      <c r="D63" s="857">
        <f>SUM(F61,C62)</f>
        <v>338600000</v>
      </c>
      <c r="E63" s="858"/>
      <c r="F63" s="858"/>
      <c r="G63" s="859"/>
      <c r="H63" s="843"/>
      <c r="I63" s="843"/>
    </row>
    <row r="64" spans="2:13" ht="9.75" customHeight="1" x14ac:dyDescent="0.4">
      <c r="B64" s="418"/>
      <c r="C64" s="419"/>
      <c r="D64" s="419"/>
      <c r="E64" s="420"/>
      <c r="F64" s="420"/>
      <c r="G64" s="421"/>
      <c r="H64" s="421"/>
    </row>
    <row r="65" ht="14.25" customHeight="1" x14ac:dyDescent="0.4"/>
    <row r="66" ht="14.25" customHeight="1" x14ac:dyDescent="0.4"/>
    <row r="67" ht="14.25" customHeight="1" x14ac:dyDescent="0.4"/>
    <row r="68" ht="14.25" customHeight="1" x14ac:dyDescent="0.4"/>
    <row r="69" ht="14.25" customHeight="1" x14ac:dyDescent="0.4"/>
    <row r="70" ht="14.25" customHeight="1" x14ac:dyDescent="0.4"/>
    <row r="71" ht="14.25" customHeight="1" x14ac:dyDescent="0.4"/>
    <row r="72" ht="14.25" customHeight="1" x14ac:dyDescent="0.4"/>
    <row r="73" ht="14.25" customHeight="1" x14ac:dyDescent="0.4"/>
    <row r="74" ht="14.25" customHeight="1" x14ac:dyDescent="0.4"/>
    <row r="75" ht="14.25" customHeight="1" x14ac:dyDescent="0.4"/>
    <row r="76" ht="14.25" customHeight="1" x14ac:dyDescent="0.4"/>
    <row r="77" ht="14.25" customHeight="1" x14ac:dyDescent="0.4"/>
    <row r="78" ht="14.25" customHeight="1" x14ac:dyDescent="0.4"/>
    <row r="79" ht="14.25" customHeight="1" x14ac:dyDescent="0.4"/>
    <row r="80" ht="14.25" customHeight="1" x14ac:dyDescent="0.4"/>
    <row r="81" ht="14.25" customHeight="1" x14ac:dyDescent="0.4"/>
    <row r="82" ht="14.25" customHeight="1" x14ac:dyDescent="0.4"/>
    <row r="83" ht="14.25" customHeight="1" x14ac:dyDescent="0.4"/>
    <row r="84" ht="14.25" customHeight="1" x14ac:dyDescent="0.4"/>
    <row r="85" ht="14.25" customHeight="1" x14ac:dyDescent="0.4"/>
    <row r="86" ht="14.25" customHeight="1" x14ac:dyDescent="0.4"/>
    <row r="87" ht="14.25" customHeight="1" x14ac:dyDescent="0.4"/>
    <row r="88" ht="14.25" customHeight="1" x14ac:dyDescent="0.4"/>
    <row r="89" ht="14.25" customHeight="1" x14ac:dyDescent="0.4"/>
    <row r="90" ht="14.25" customHeight="1" x14ac:dyDescent="0.4"/>
    <row r="91" ht="14.25" customHeight="1" x14ac:dyDescent="0.4"/>
    <row r="92" ht="14.25" customHeight="1" x14ac:dyDescent="0.4"/>
    <row r="93" ht="14.25" customHeight="1" x14ac:dyDescent="0.4"/>
    <row r="94" ht="14.25" customHeight="1" x14ac:dyDescent="0.4"/>
    <row r="95" ht="14.25" customHeight="1" x14ac:dyDescent="0.4"/>
    <row r="96" ht="14.25" customHeight="1" x14ac:dyDescent="0.4"/>
    <row r="97" ht="14.25" customHeight="1" x14ac:dyDescent="0.4"/>
    <row r="98" ht="14.25" customHeight="1" x14ac:dyDescent="0.4"/>
    <row r="99" ht="14.25" customHeight="1" x14ac:dyDescent="0.4"/>
    <row r="100" ht="14.25" customHeight="1" x14ac:dyDescent="0.4"/>
    <row r="101" ht="14.25" customHeight="1" x14ac:dyDescent="0.4"/>
    <row r="102" ht="14.25" customHeight="1" x14ac:dyDescent="0.4"/>
    <row r="103" ht="14.25" customHeight="1" x14ac:dyDescent="0.4"/>
    <row r="104" ht="14.25" customHeight="1" x14ac:dyDescent="0.4"/>
    <row r="105" ht="14.25" customHeight="1" x14ac:dyDescent="0.4"/>
    <row r="106" ht="14.25" customHeight="1" x14ac:dyDescent="0.4"/>
    <row r="107" ht="14.25" customHeight="1" x14ac:dyDescent="0.4"/>
    <row r="108" ht="14.25" customHeight="1" x14ac:dyDescent="0.4"/>
    <row r="109" ht="14.25" customHeight="1" x14ac:dyDescent="0.4"/>
    <row r="110" ht="14.25" customHeight="1" x14ac:dyDescent="0.4"/>
    <row r="111" ht="14.25" customHeight="1" x14ac:dyDescent="0.4"/>
    <row r="112" ht="14.25" customHeight="1" x14ac:dyDescent="0.4"/>
    <row r="113" ht="14.25" customHeight="1" x14ac:dyDescent="0.4"/>
    <row r="114" ht="14.25" customHeight="1" x14ac:dyDescent="0.4"/>
    <row r="115" ht="14.25" customHeight="1" x14ac:dyDescent="0.4"/>
    <row r="116" ht="14.25" customHeight="1" x14ac:dyDescent="0.4"/>
    <row r="117" ht="14.25" customHeight="1" x14ac:dyDescent="0.4"/>
    <row r="118" ht="14.25" customHeight="1" x14ac:dyDescent="0.4"/>
    <row r="119" ht="14.25" customHeight="1" x14ac:dyDescent="0.4"/>
    <row r="120" ht="14.25" customHeight="1" x14ac:dyDescent="0.4"/>
    <row r="121" ht="14.25" customHeight="1" x14ac:dyDescent="0.4"/>
    <row r="122" ht="14.25" customHeight="1" x14ac:dyDescent="0.4"/>
    <row r="123" ht="14.25" customHeight="1" x14ac:dyDescent="0.4"/>
    <row r="124" ht="14.25" customHeight="1" x14ac:dyDescent="0.4"/>
    <row r="125" ht="14.25" customHeight="1" x14ac:dyDescent="0.4"/>
    <row r="126" ht="14.25" customHeight="1" x14ac:dyDescent="0.4"/>
    <row r="127" ht="14.25" customHeight="1" x14ac:dyDescent="0.4"/>
    <row r="128" ht="14.25" customHeight="1" x14ac:dyDescent="0.4"/>
    <row r="129" ht="14.25" customHeight="1" x14ac:dyDescent="0.4"/>
    <row r="130" ht="14.25" customHeight="1" x14ac:dyDescent="0.4"/>
    <row r="131" ht="14.25" customHeight="1" x14ac:dyDescent="0.4"/>
    <row r="132" ht="14.25" customHeight="1" x14ac:dyDescent="0.4"/>
    <row r="133" ht="14.25" customHeight="1" x14ac:dyDescent="0.4"/>
    <row r="134" ht="14.25" customHeight="1" x14ac:dyDescent="0.4"/>
    <row r="135" ht="14.25" customHeight="1" x14ac:dyDescent="0.4"/>
    <row r="136" ht="14.25" customHeight="1" x14ac:dyDescent="0.4"/>
    <row r="137" ht="14.25" customHeight="1" x14ac:dyDescent="0.4"/>
    <row r="138" ht="14.25" customHeight="1" x14ac:dyDescent="0.4"/>
    <row r="139" ht="14.25" customHeight="1" x14ac:dyDescent="0.4"/>
    <row r="140" ht="14.25" customHeight="1" x14ac:dyDescent="0.4"/>
    <row r="141" ht="14.25" customHeight="1" x14ac:dyDescent="0.4"/>
    <row r="142" ht="14.25" customHeight="1" x14ac:dyDescent="0.4"/>
    <row r="143" ht="14.25" customHeight="1" x14ac:dyDescent="0.4"/>
    <row r="144" ht="14.25" customHeight="1" x14ac:dyDescent="0.4"/>
    <row r="145" ht="14.25" customHeight="1" x14ac:dyDescent="0.4"/>
    <row r="146" ht="14.25" customHeight="1" x14ac:dyDescent="0.4"/>
    <row r="147" ht="14.25" customHeight="1" x14ac:dyDescent="0.4"/>
    <row r="148" ht="14.25" customHeight="1" x14ac:dyDescent="0.4"/>
    <row r="149" ht="14.25" customHeight="1" x14ac:dyDescent="0.4"/>
    <row r="150" ht="14.25" customHeight="1" x14ac:dyDescent="0.4"/>
    <row r="151" ht="14.25" customHeight="1" x14ac:dyDescent="0.4"/>
    <row r="152" ht="14.25" customHeight="1" x14ac:dyDescent="0.4"/>
    <row r="153" ht="14.25" customHeight="1" x14ac:dyDescent="0.4"/>
    <row r="154" ht="14.25" customHeight="1" x14ac:dyDescent="0.4"/>
    <row r="155" ht="14.25" customHeight="1" x14ac:dyDescent="0.4"/>
    <row r="156" ht="14.25" customHeight="1" x14ac:dyDescent="0.4"/>
    <row r="157" ht="14.25" customHeight="1" x14ac:dyDescent="0.4"/>
    <row r="158" ht="14.25" customHeight="1" x14ac:dyDescent="0.4"/>
    <row r="159" ht="14.25" customHeight="1" x14ac:dyDescent="0.4"/>
    <row r="160" ht="14.25" customHeight="1" x14ac:dyDescent="0.4"/>
    <row r="161" ht="14.25" customHeight="1" x14ac:dyDescent="0.4"/>
    <row r="162" ht="14.25" customHeight="1" x14ac:dyDescent="0.4"/>
    <row r="163" ht="14.25" customHeight="1" x14ac:dyDescent="0.4"/>
    <row r="164" ht="14.25" customHeight="1" x14ac:dyDescent="0.4"/>
    <row r="165" ht="14.25" customHeight="1" x14ac:dyDescent="0.4"/>
    <row r="166" ht="14.25" customHeight="1" x14ac:dyDescent="0.4"/>
    <row r="167" ht="14.25" customHeight="1" x14ac:dyDescent="0.4"/>
    <row r="168" ht="14.25" customHeight="1" x14ac:dyDescent="0.4"/>
    <row r="169" ht="14.25" customHeight="1" x14ac:dyDescent="0.4"/>
    <row r="170" ht="14.25" customHeight="1" x14ac:dyDescent="0.4"/>
    <row r="171" ht="14.25" customHeight="1" x14ac:dyDescent="0.4"/>
    <row r="172" ht="14.25" customHeight="1" x14ac:dyDescent="0.4"/>
    <row r="173" ht="14.25" customHeight="1" x14ac:dyDescent="0.4"/>
    <row r="174" ht="14.25" customHeight="1" x14ac:dyDescent="0.4"/>
    <row r="175" ht="14.25" customHeight="1" x14ac:dyDescent="0.4"/>
    <row r="176" ht="14.25" customHeight="1" x14ac:dyDescent="0.4"/>
    <row r="177" ht="14.25" customHeight="1" x14ac:dyDescent="0.4"/>
    <row r="178" ht="14.25" customHeight="1" x14ac:dyDescent="0.4"/>
    <row r="179" ht="14.25" customHeight="1" x14ac:dyDescent="0.4"/>
    <row r="180" ht="14.25" customHeight="1" x14ac:dyDescent="0.4"/>
    <row r="181" ht="14.25" customHeight="1" x14ac:dyDescent="0.4"/>
    <row r="182" ht="14.25" customHeight="1" x14ac:dyDescent="0.4"/>
    <row r="183" ht="14.25" customHeight="1" x14ac:dyDescent="0.4"/>
    <row r="184" ht="14.25" customHeight="1" x14ac:dyDescent="0.4"/>
    <row r="185" ht="14.25" customHeight="1" x14ac:dyDescent="0.4"/>
    <row r="186" ht="14.25" customHeight="1" x14ac:dyDescent="0.4"/>
    <row r="187" ht="14.25" customHeight="1" x14ac:dyDescent="0.4"/>
    <row r="188" ht="14.25" customHeight="1" x14ac:dyDescent="0.4"/>
    <row r="189" ht="14.25" customHeight="1" x14ac:dyDescent="0.4"/>
    <row r="190" ht="14.25" customHeight="1" x14ac:dyDescent="0.4"/>
    <row r="191" ht="14.25" customHeight="1" x14ac:dyDescent="0.4"/>
    <row r="192" ht="14.25" customHeight="1" x14ac:dyDescent="0.4"/>
    <row r="193" ht="14.25" customHeight="1" x14ac:dyDescent="0.4"/>
    <row r="194" ht="14.25" customHeight="1" x14ac:dyDescent="0.4"/>
    <row r="195" ht="14.25" customHeight="1" x14ac:dyDescent="0.4"/>
    <row r="196" ht="14.25" customHeight="1" x14ac:dyDescent="0.4"/>
    <row r="197" ht="14.25" customHeight="1" x14ac:dyDescent="0.4"/>
    <row r="198" ht="14.25" customHeight="1" x14ac:dyDescent="0.4"/>
    <row r="199" ht="14.25" customHeight="1" x14ac:dyDescent="0.4"/>
    <row r="200" ht="14.25" customHeight="1" x14ac:dyDescent="0.4"/>
    <row r="201" ht="14.25" customHeight="1" x14ac:dyDescent="0.4"/>
    <row r="202" ht="14.25" customHeight="1" x14ac:dyDescent="0.4"/>
    <row r="203" ht="14.25" customHeight="1" x14ac:dyDescent="0.4"/>
    <row r="204" ht="14.25" customHeight="1" x14ac:dyDescent="0.4"/>
    <row r="205" ht="14.25" customHeight="1" x14ac:dyDescent="0.4"/>
    <row r="206" ht="14.25" customHeight="1" x14ac:dyDescent="0.4"/>
    <row r="207" ht="14.25" customHeight="1" x14ac:dyDescent="0.4"/>
    <row r="208" ht="14.25" customHeight="1" x14ac:dyDescent="0.4"/>
    <row r="209" ht="14.25" customHeight="1" x14ac:dyDescent="0.4"/>
    <row r="210" ht="14.25" customHeight="1" x14ac:dyDescent="0.4"/>
    <row r="211" ht="14.25" customHeight="1" x14ac:dyDescent="0.4"/>
    <row r="212" ht="14.25" customHeight="1" x14ac:dyDescent="0.4"/>
    <row r="213" ht="14.25" customHeight="1" x14ac:dyDescent="0.4"/>
    <row r="214" ht="14.25" customHeight="1" x14ac:dyDescent="0.4"/>
    <row r="215" ht="14.25" customHeight="1" x14ac:dyDescent="0.4"/>
    <row r="216" ht="14.25" customHeight="1" x14ac:dyDescent="0.4"/>
    <row r="217" ht="14.25" customHeight="1" x14ac:dyDescent="0.4"/>
    <row r="218" ht="14.25" customHeight="1" x14ac:dyDescent="0.4"/>
    <row r="219" ht="14.25" customHeight="1" x14ac:dyDescent="0.4"/>
    <row r="220" ht="14.25" customHeight="1" x14ac:dyDescent="0.4"/>
    <row r="221" ht="14.25" customHeight="1" x14ac:dyDescent="0.4"/>
    <row r="222" ht="14.25" customHeight="1" x14ac:dyDescent="0.4"/>
    <row r="223" ht="14.25" customHeight="1" x14ac:dyDescent="0.4"/>
    <row r="224" ht="14.25" customHeight="1" x14ac:dyDescent="0.4"/>
    <row r="225" ht="14.25" customHeight="1" x14ac:dyDescent="0.4"/>
    <row r="226" ht="14.25" customHeight="1" x14ac:dyDescent="0.4"/>
    <row r="227" ht="14.25" customHeight="1" x14ac:dyDescent="0.4"/>
    <row r="228" ht="14.25" customHeight="1" x14ac:dyDescent="0.4"/>
    <row r="229" ht="14.25" customHeight="1" x14ac:dyDescent="0.4"/>
    <row r="230" ht="14.25" customHeight="1" x14ac:dyDescent="0.4"/>
    <row r="231" ht="14.25" customHeight="1" x14ac:dyDescent="0.4"/>
    <row r="232" ht="14.25" customHeight="1" x14ac:dyDescent="0.4"/>
    <row r="233" ht="14.25" customHeight="1" x14ac:dyDescent="0.4"/>
    <row r="234" ht="14.25" customHeight="1" x14ac:dyDescent="0.4"/>
    <row r="235" ht="14.25" customHeight="1" x14ac:dyDescent="0.4"/>
    <row r="236" ht="14.25" customHeight="1" x14ac:dyDescent="0.4"/>
    <row r="237" ht="14.25" customHeight="1" x14ac:dyDescent="0.4"/>
    <row r="238" ht="14.25" customHeight="1" x14ac:dyDescent="0.4"/>
    <row r="239" ht="14.25" customHeight="1" x14ac:dyDescent="0.4"/>
    <row r="240" ht="14.25" customHeight="1" x14ac:dyDescent="0.4"/>
    <row r="241" ht="14.25" customHeight="1" x14ac:dyDescent="0.4"/>
    <row r="242" ht="14.25" customHeight="1" x14ac:dyDescent="0.4"/>
    <row r="243" ht="14.25" customHeight="1" x14ac:dyDescent="0.4"/>
    <row r="244" ht="14.25" customHeight="1" x14ac:dyDescent="0.4"/>
    <row r="245" ht="14.25" customHeight="1" x14ac:dyDescent="0.4"/>
    <row r="246" ht="14.25" customHeight="1" x14ac:dyDescent="0.4"/>
    <row r="247" ht="14.25" customHeight="1" x14ac:dyDescent="0.4"/>
    <row r="248" ht="14.25" customHeight="1" x14ac:dyDescent="0.4"/>
    <row r="249" ht="14.25" customHeight="1" x14ac:dyDescent="0.4"/>
    <row r="250" ht="14.25" customHeight="1" x14ac:dyDescent="0.4"/>
    <row r="251" ht="14.25" customHeight="1" x14ac:dyDescent="0.4"/>
    <row r="252" ht="14.25" customHeight="1" x14ac:dyDescent="0.4"/>
    <row r="253" ht="14.25" customHeight="1" x14ac:dyDescent="0.4"/>
    <row r="254" ht="14.25" customHeight="1" x14ac:dyDescent="0.4"/>
    <row r="255" ht="14.25" customHeight="1" x14ac:dyDescent="0.4"/>
    <row r="256" ht="14.25" customHeight="1" x14ac:dyDescent="0.4"/>
    <row r="257" ht="14.25" customHeight="1" x14ac:dyDescent="0.4"/>
    <row r="258" ht="14.25" customHeight="1" x14ac:dyDescent="0.4"/>
    <row r="259" ht="14.25" customHeight="1" x14ac:dyDescent="0.4"/>
    <row r="260" ht="14.25" customHeight="1" x14ac:dyDescent="0.4"/>
    <row r="261" ht="14.25" customHeight="1" x14ac:dyDescent="0.4"/>
    <row r="262" ht="14.25" customHeight="1" x14ac:dyDescent="0.4"/>
    <row r="263" ht="14.25" customHeight="1" x14ac:dyDescent="0.4"/>
    <row r="264" ht="14.25" customHeight="1" x14ac:dyDescent="0.4"/>
    <row r="265" ht="14.25" customHeight="1" x14ac:dyDescent="0.4"/>
    <row r="266" ht="14.25" customHeight="1" x14ac:dyDescent="0.4"/>
    <row r="267" ht="14.25" customHeight="1" x14ac:dyDescent="0.4"/>
    <row r="268" ht="14.25" customHeight="1" x14ac:dyDescent="0.4"/>
    <row r="269" ht="14.25" customHeight="1" x14ac:dyDescent="0.4"/>
    <row r="270" ht="14.25" customHeight="1" x14ac:dyDescent="0.4"/>
    <row r="271" ht="14.25" customHeight="1" x14ac:dyDescent="0.4"/>
    <row r="272" ht="14.25" customHeight="1" x14ac:dyDescent="0.4"/>
    <row r="273" ht="14.25" customHeight="1" x14ac:dyDescent="0.4"/>
    <row r="274" ht="14.25" customHeight="1" x14ac:dyDescent="0.4"/>
    <row r="275" ht="14.25" customHeight="1" x14ac:dyDescent="0.4"/>
    <row r="276" ht="14.25" customHeight="1" x14ac:dyDescent="0.4"/>
    <row r="277" ht="14.25" customHeight="1" x14ac:dyDescent="0.4"/>
    <row r="278" ht="14.25" customHeight="1" x14ac:dyDescent="0.4"/>
    <row r="279" ht="14.25" customHeight="1" x14ac:dyDescent="0.4"/>
    <row r="280" ht="14.25" customHeight="1" x14ac:dyDescent="0.4"/>
    <row r="281" ht="14.25" customHeight="1" x14ac:dyDescent="0.4"/>
    <row r="282" ht="14.25" customHeight="1" x14ac:dyDescent="0.4"/>
    <row r="283" ht="14.25" customHeight="1" x14ac:dyDescent="0.4"/>
    <row r="284" ht="14.25" customHeight="1" x14ac:dyDescent="0.4"/>
    <row r="285" ht="14.25" customHeight="1" x14ac:dyDescent="0.4"/>
    <row r="286" ht="14.25" customHeight="1" x14ac:dyDescent="0.4"/>
    <row r="287" ht="14.25" customHeight="1" x14ac:dyDescent="0.4"/>
    <row r="288" ht="14.25" customHeight="1" x14ac:dyDescent="0.4"/>
    <row r="289" ht="14.25" customHeight="1" x14ac:dyDescent="0.4"/>
    <row r="290" ht="14.25" customHeight="1" x14ac:dyDescent="0.4"/>
    <row r="291" ht="14.25" customHeight="1" x14ac:dyDescent="0.4"/>
  </sheetData>
  <sheetProtection algorithmName="SHA-512" hashValue="TF2UHLTZkm05mLb4KHzn5k6OEtBifUnGt2GnfsSpGTK5mnEdQmfA9gN+OXmtw4DJ10AdOGQZBO67Ps9JwAB3nA==" saltValue="SFCn3uprZkSjy1YQnWwDww==" spinCount="100000" sheet="1" formatCells="0" formatRows="0" insertRows="0" deleteRows="0" selectLockedCells="1"/>
  <mergeCells count="43">
    <mergeCell ref="D63:G63"/>
    <mergeCell ref="C62:E62"/>
    <mergeCell ref="B63:C63"/>
    <mergeCell ref="F62:G62"/>
    <mergeCell ref="E49:G49"/>
    <mergeCell ref="E50:G50"/>
    <mergeCell ref="E51:G51"/>
    <mergeCell ref="E52:G52"/>
    <mergeCell ref="E59:G59"/>
    <mergeCell ref="E54:G54"/>
    <mergeCell ref="E44:G44"/>
    <mergeCell ref="E45:G45"/>
    <mergeCell ref="E46:G46"/>
    <mergeCell ref="E47:G47"/>
    <mergeCell ref="E48:G48"/>
    <mergeCell ref="Q5:Q6"/>
    <mergeCell ref="F5:F6"/>
    <mergeCell ref="H5:H6"/>
    <mergeCell ref="I5:I6"/>
    <mergeCell ref="J5:J6"/>
    <mergeCell ref="K5:K6"/>
    <mergeCell ref="L5:L6"/>
    <mergeCell ref="O5:O6"/>
    <mergeCell ref="P5:P6"/>
    <mergeCell ref="G5:G6"/>
    <mergeCell ref="M5:M6"/>
    <mergeCell ref="N5:N6"/>
    <mergeCell ref="H62:I63"/>
    <mergeCell ref="H43:I43"/>
    <mergeCell ref="H44:I61"/>
    <mergeCell ref="B1:M1"/>
    <mergeCell ref="B5:B6"/>
    <mergeCell ref="E56:G56"/>
    <mergeCell ref="E57:G57"/>
    <mergeCell ref="E58:G58"/>
    <mergeCell ref="C5:C6"/>
    <mergeCell ref="D5:D6"/>
    <mergeCell ref="E5:E6"/>
    <mergeCell ref="E53:G53"/>
    <mergeCell ref="E55:G55"/>
    <mergeCell ref="F61:G61"/>
    <mergeCell ref="E60:G60"/>
    <mergeCell ref="E43:G43"/>
  </mergeCells>
  <phoneticPr fontId="2" type="noConversion"/>
  <dataValidations count="3">
    <dataValidation type="list" allowBlank="1" showInputMessage="1" showErrorMessage="1" sqref="M41" xr:uid="{00000000-0002-0000-0400-000000000000}">
      <formula1>"0,1,2,3,4,5,6,7,8,9,10,11,12"</formula1>
    </dataValidation>
    <dataValidation type="list" allowBlank="1" showInputMessage="1" showErrorMessage="1" sqref="O41" xr:uid="{00000000-0002-0000-0400-000001000000}">
      <formula1>"0,1,2,3,4,5,6,7,8,9,10,11,12,13,14,15,16,17,18,19,20,21"</formula1>
    </dataValidation>
    <dataValidation type="list" showInputMessage="1" showErrorMessage="1" sqref="C7:D7 C40:D40" xr:uid="{00000000-0002-0000-0400-000002000000}">
      <formula1>"등급선택--,기술사, 특급기술자, 고급기술자, 중급기술자, 초급기술자, 자료입력원"</formula1>
    </dataValidation>
  </dataValidations>
  <printOptions horizontalCentered="1" verticalCentered="1"/>
  <pageMargins left="0.70866141732283472" right="0.70866141732283472" top="0.74803149606299213" bottom="0.74803149606299213" header="0.31496062992125984" footer="0.31496062992125984"/>
  <pageSetup paperSize="9" scale="63" orientation="portrait" r:id="rId1"/>
  <ignoredErrors>
    <ignoredError sqref="E8"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3000000}">
          <x14:formula1>
            <xm:f>'직무별 정의'!$B$3:$B$20</xm:f>
          </x14:formula1>
          <xm:sqref>C8:C39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F38"/>
  <sheetViews>
    <sheetView topLeftCell="A33" workbookViewId="0">
      <selection activeCell="C5" sqref="C5:C6"/>
    </sheetView>
  </sheetViews>
  <sheetFormatPr defaultColWidth="9" defaultRowHeight="17.399999999999999" x14ac:dyDescent="0.4"/>
  <cols>
    <col min="1" max="1" width="5" style="22" customWidth="1"/>
    <col min="2" max="2" width="9.19921875" style="22" customWidth="1"/>
    <col min="3" max="3" width="18.19921875" style="446" customWidth="1"/>
    <col min="4" max="4" width="14.296875" style="24" customWidth="1"/>
    <col min="5" max="5" width="64.5" style="22" customWidth="1"/>
    <col min="6" max="6" width="36.69921875" style="426" customWidth="1"/>
    <col min="7" max="16384" width="9" style="22"/>
  </cols>
  <sheetData>
    <row r="1" spans="1:6" ht="23.25" customHeight="1" x14ac:dyDescent="0.4">
      <c r="A1" s="873" t="s">
        <v>57</v>
      </c>
      <c r="B1" s="873"/>
      <c r="C1" s="873"/>
      <c r="D1" s="873"/>
      <c r="E1" s="873"/>
      <c r="F1" s="873"/>
    </row>
    <row r="2" spans="1:6" ht="12" customHeight="1" x14ac:dyDescent="0.4">
      <c r="A2" s="424"/>
      <c r="B2" s="424"/>
      <c r="C2" s="424"/>
      <c r="D2" s="425"/>
      <c r="E2" s="424"/>
    </row>
    <row r="3" spans="1:6" s="23" customFormat="1" x14ac:dyDescent="0.4">
      <c r="A3" s="427" t="s">
        <v>476</v>
      </c>
      <c r="B3" s="427" t="s">
        <v>477</v>
      </c>
      <c r="C3" s="427" t="s">
        <v>478</v>
      </c>
      <c r="D3" s="427" t="s">
        <v>479</v>
      </c>
      <c r="E3" s="427" t="s">
        <v>33</v>
      </c>
      <c r="F3" s="427" t="s">
        <v>527</v>
      </c>
    </row>
    <row r="4" spans="1:6" customFormat="1" ht="26.4" x14ac:dyDescent="0.4">
      <c r="A4" s="428">
        <v>1</v>
      </c>
      <c r="B4" s="862" t="s">
        <v>528</v>
      </c>
      <c r="C4" s="444" t="s">
        <v>83</v>
      </c>
      <c r="D4" s="429" t="s">
        <v>101</v>
      </c>
      <c r="E4" s="430" t="s">
        <v>480</v>
      </c>
      <c r="F4" s="431" t="s">
        <v>529</v>
      </c>
    </row>
    <row r="5" spans="1:6" ht="39.6" x14ac:dyDescent="0.4">
      <c r="A5" s="862">
        <v>2</v>
      </c>
      <c r="B5" s="863"/>
      <c r="C5" s="865" t="s">
        <v>81</v>
      </c>
      <c r="D5" s="429" t="s">
        <v>530</v>
      </c>
      <c r="E5" s="430" t="s">
        <v>481</v>
      </c>
      <c r="F5" s="431" t="s">
        <v>531</v>
      </c>
    </row>
    <row r="6" spans="1:6" ht="27.75" customHeight="1" x14ac:dyDescent="0.4">
      <c r="A6" s="864"/>
      <c r="B6" s="863"/>
      <c r="C6" s="866"/>
      <c r="D6" s="429" t="s">
        <v>482</v>
      </c>
      <c r="E6" s="430" t="s">
        <v>483</v>
      </c>
      <c r="F6" s="431" t="s">
        <v>532</v>
      </c>
    </row>
    <row r="7" spans="1:6" ht="27.6" x14ac:dyDescent="0.4">
      <c r="A7" s="862">
        <v>3</v>
      </c>
      <c r="B7" s="863"/>
      <c r="C7" s="865" t="s">
        <v>100</v>
      </c>
      <c r="D7" s="868" t="s">
        <v>104</v>
      </c>
      <c r="E7" s="432" t="s">
        <v>484</v>
      </c>
      <c r="F7" s="874" t="s">
        <v>485</v>
      </c>
    </row>
    <row r="8" spans="1:6" ht="5.25" customHeight="1" x14ac:dyDescent="0.4">
      <c r="A8" s="863"/>
      <c r="B8" s="863"/>
      <c r="C8" s="867"/>
      <c r="D8" s="869"/>
      <c r="E8" s="433"/>
      <c r="F8" s="871"/>
    </row>
    <row r="9" spans="1:6" ht="24" customHeight="1" x14ac:dyDescent="0.4">
      <c r="A9" s="863"/>
      <c r="B9" s="863"/>
      <c r="C9" s="867"/>
      <c r="D9" s="869"/>
      <c r="E9" s="875" t="s">
        <v>533</v>
      </c>
      <c r="F9" s="871"/>
    </row>
    <row r="10" spans="1:6" x14ac:dyDescent="0.4">
      <c r="A10" s="863"/>
      <c r="B10" s="863"/>
      <c r="C10" s="867"/>
      <c r="D10" s="869"/>
      <c r="E10" s="876"/>
      <c r="F10" s="872"/>
    </row>
    <row r="11" spans="1:6" ht="75.75" customHeight="1" x14ac:dyDescent="0.4">
      <c r="A11" s="428">
        <v>4</v>
      </c>
      <c r="B11" s="864"/>
      <c r="C11" s="444" t="s">
        <v>85</v>
      </c>
      <c r="D11" s="429" t="s">
        <v>105</v>
      </c>
      <c r="E11" s="430" t="s">
        <v>486</v>
      </c>
      <c r="F11" s="431" t="s">
        <v>534</v>
      </c>
    </row>
    <row r="12" spans="1:6" ht="28.5" customHeight="1" x14ac:dyDescent="0.4">
      <c r="A12" s="428">
        <v>5</v>
      </c>
      <c r="B12" s="862" t="s">
        <v>487</v>
      </c>
      <c r="C12" s="444" t="s">
        <v>95</v>
      </c>
      <c r="D12" s="429" t="s">
        <v>487</v>
      </c>
      <c r="E12" s="430" t="s">
        <v>488</v>
      </c>
      <c r="F12" s="434" t="s">
        <v>535</v>
      </c>
    </row>
    <row r="13" spans="1:6" s="452" customFormat="1" ht="34.5" customHeight="1" x14ac:dyDescent="0.4">
      <c r="A13" s="447" t="s">
        <v>489</v>
      </c>
      <c r="B13" s="863"/>
      <c r="C13" s="448" t="s">
        <v>490</v>
      </c>
      <c r="D13" s="449" t="s">
        <v>491</v>
      </c>
      <c r="E13" s="450" t="s">
        <v>536</v>
      </c>
      <c r="F13" s="451" t="s">
        <v>538</v>
      </c>
    </row>
    <row r="14" spans="1:6" ht="26.4" x14ac:dyDescent="0.4">
      <c r="A14" s="862">
        <v>6</v>
      </c>
      <c r="B14" s="862" t="s">
        <v>492</v>
      </c>
      <c r="C14" s="865" t="s">
        <v>464</v>
      </c>
      <c r="D14" s="429" t="s">
        <v>108</v>
      </c>
      <c r="E14" s="430" t="s">
        <v>493</v>
      </c>
      <c r="F14" s="431" t="s">
        <v>539</v>
      </c>
    </row>
    <row r="15" spans="1:6" ht="72.75" customHeight="1" x14ac:dyDescent="0.4">
      <c r="A15" s="863"/>
      <c r="B15" s="863"/>
      <c r="C15" s="867"/>
      <c r="D15" s="442" t="s">
        <v>494</v>
      </c>
      <c r="E15" s="436" t="s">
        <v>495</v>
      </c>
      <c r="F15" s="431" t="s">
        <v>540</v>
      </c>
    </row>
    <row r="16" spans="1:6" ht="52.8" x14ac:dyDescent="0.4">
      <c r="A16" s="864"/>
      <c r="B16" s="864"/>
      <c r="C16" s="866"/>
      <c r="D16" s="429" t="s">
        <v>110</v>
      </c>
      <c r="E16" s="430" t="s">
        <v>496</v>
      </c>
      <c r="F16" s="431" t="s">
        <v>541</v>
      </c>
    </row>
    <row r="17" spans="1:6" ht="52.8" x14ac:dyDescent="0.4">
      <c r="A17" s="862">
        <v>7</v>
      </c>
      <c r="B17" s="862" t="s">
        <v>542</v>
      </c>
      <c r="C17" s="865" t="s">
        <v>543</v>
      </c>
      <c r="D17" s="429" t="s">
        <v>497</v>
      </c>
      <c r="E17" s="430" t="s">
        <v>498</v>
      </c>
      <c r="F17" s="431" t="s">
        <v>544</v>
      </c>
    </row>
    <row r="18" spans="1:6" ht="45.75" customHeight="1" x14ac:dyDescent="0.4">
      <c r="A18" s="864"/>
      <c r="B18" s="863"/>
      <c r="C18" s="866"/>
      <c r="D18" s="429" t="s">
        <v>111</v>
      </c>
      <c r="E18" s="430" t="s">
        <v>499</v>
      </c>
      <c r="F18" s="431" t="s">
        <v>545</v>
      </c>
    </row>
    <row r="19" spans="1:6" ht="39.75" customHeight="1" x14ac:dyDescent="0.4">
      <c r="A19" s="441">
        <v>8</v>
      </c>
      <c r="B19" s="863"/>
      <c r="C19" s="445" t="s">
        <v>546</v>
      </c>
      <c r="D19" s="442" t="s">
        <v>500</v>
      </c>
      <c r="E19" s="436" t="s">
        <v>501</v>
      </c>
      <c r="F19" s="437" t="s">
        <v>547</v>
      </c>
    </row>
    <row r="20" spans="1:6" ht="36.75" customHeight="1" x14ac:dyDescent="0.4">
      <c r="A20" s="862">
        <v>9</v>
      </c>
      <c r="B20" s="863"/>
      <c r="C20" s="865" t="s">
        <v>548</v>
      </c>
      <c r="D20" s="868" t="s">
        <v>113</v>
      </c>
      <c r="E20" s="432" t="s">
        <v>502</v>
      </c>
      <c r="F20" s="870" t="s">
        <v>549</v>
      </c>
    </row>
    <row r="21" spans="1:6" ht="6.75" customHeight="1" x14ac:dyDescent="0.4">
      <c r="A21" s="863"/>
      <c r="B21" s="863"/>
      <c r="C21" s="867"/>
      <c r="D21" s="869"/>
      <c r="E21" s="433"/>
      <c r="F21" s="871"/>
    </row>
    <row r="22" spans="1:6" ht="99.75" customHeight="1" x14ac:dyDescent="0.4">
      <c r="A22" s="863"/>
      <c r="B22" s="863"/>
      <c r="C22" s="867"/>
      <c r="D22" s="869"/>
      <c r="E22" s="438" t="s">
        <v>550</v>
      </c>
      <c r="F22" s="872"/>
    </row>
    <row r="23" spans="1:6" ht="27.75" customHeight="1" x14ac:dyDescent="0.4">
      <c r="A23" s="862">
        <v>10</v>
      </c>
      <c r="B23" s="862" t="s">
        <v>503</v>
      </c>
      <c r="C23" s="865" t="s">
        <v>551</v>
      </c>
      <c r="D23" s="429" t="s">
        <v>114</v>
      </c>
      <c r="E23" s="430" t="s">
        <v>504</v>
      </c>
      <c r="F23" s="431" t="s">
        <v>552</v>
      </c>
    </row>
    <row r="24" spans="1:6" ht="38.25" customHeight="1" x14ac:dyDescent="0.4">
      <c r="A24" s="864"/>
      <c r="B24" s="864"/>
      <c r="C24" s="866"/>
      <c r="D24" s="429" t="s">
        <v>505</v>
      </c>
      <c r="E24" s="430" t="s">
        <v>506</v>
      </c>
      <c r="F24" s="431" t="s">
        <v>553</v>
      </c>
    </row>
    <row r="25" spans="1:6" ht="39.75" customHeight="1" x14ac:dyDescent="0.4">
      <c r="A25" s="862">
        <v>11</v>
      </c>
      <c r="B25" s="862" t="s">
        <v>507</v>
      </c>
      <c r="C25" s="865" t="s">
        <v>554</v>
      </c>
      <c r="D25" s="442" t="s">
        <v>555</v>
      </c>
      <c r="E25" s="436" t="s">
        <v>508</v>
      </c>
      <c r="F25" s="431" t="s">
        <v>556</v>
      </c>
    </row>
    <row r="26" spans="1:6" ht="27.75" customHeight="1" x14ac:dyDescent="0.4">
      <c r="A26" s="863"/>
      <c r="B26" s="863"/>
      <c r="C26" s="867"/>
      <c r="D26" s="429" t="s">
        <v>117</v>
      </c>
      <c r="E26" s="430" t="s">
        <v>509</v>
      </c>
      <c r="F26" s="431" t="s">
        <v>557</v>
      </c>
    </row>
    <row r="27" spans="1:6" ht="39" customHeight="1" x14ac:dyDescent="0.4">
      <c r="A27" s="864"/>
      <c r="B27" s="863"/>
      <c r="C27" s="866"/>
      <c r="D27" s="429" t="s">
        <v>118</v>
      </c>
      <c r="E27" s="430" t="s">
        <v>510</v>
      </c>
      <c r="F27" s="431" t="s">
        <v>558</v>
      </c>
    </row>
    <row r="28" spans="1:6" ht="41.25" customHeight="1" x14ac:dyDescent="0.4">
      <c r="A28" s="441">
        <v>12</v>
      </c>
      <c r="B28" s="863"/>
      <c r="C28" s="445" t="s">
        <v>470</v>
      </c>
      <c r="D28" s="442" t="s">
        <v>559</v>
      </c>
      <c r="E28" s="432" t="s">
        <v>511</v>
      </c>
      <c r="F28" s="431" t="s">
        <v>560</v>
      </c>
    </row>
    <row r="29" spans="1:6" ht="39.6" x14ac:dyDescent="0.4">
      <c r="A29" s="862">
        <v>13</v>
      </c>
      <c r="B29" s="862" t="s">
        <v>512</v>
      </c>
      <c r="C29" s="865" t="s">
        <v>471</v>
      </c>
      <c r="D29" s="429" t="s">
        <v>119</v>
      </c>
      <c r="E29" s="439" t="s">
        <v>513</v>
      </c>
      <c r="F29" s="431" t="s">
        <v>561</v>
      </c>
    </row>
    <row r="30" spans="1:6" ht="27" customHeight="1" x14ac:dyDescent="0.4">
      <c r="A30" s="863"/>
      <c r="B30" s="863"/>
      <c r="C30" s="867"/>
      <c r="D30" s="429" t="s">
        <v>120</v>
      </c>
      <c r="E30" s="439" t="s">
        <v>514</v>
      </c>
      <c r="F30" s="431" t="s">
        <v>562</v>
      </c>
    </row>
    <row r="31" spans="1:6" ht="39.6" x14ac:dyDescent="0.4">
      <c r="A31" s="864"/>
      <c r="B31" s="864"/>
      <c r="C31" s="866"/>
      <c r="D31" s="429" t="s">
        <v>84</v>
      </c>
      <c r="E31" s="439" t="s">
        <v>515</v>
      </c>
      <c r="F31" s="431" t="s">
        <v>563</v>
      </c>
    </row>
    <row r="32" spans="1:6" ht="65.25" customHeight="1" x14ac:dyDescent="0.4">
      <c r="A32" s="441">
        <v>14</v>
      </c>
      <c r="B32" s="862" t="s">
        <v>121</v>
      </c>
      <c r="C32" s="445" t="s">
        <v>564</v>
      </c>
      <c r="D32" s="442" t="s">
        <v>121</v>
      </c>
      <c r="E32" s="432" t="s">
        <v>516</v>
      </c>
      <c r="F32" s="431" t="s">
        <v>565</v>
      </c>
    </row>
    <row r="33" spans="1:6" ht="29.25" customHeight="1" x14ac:dyDescent="0.4">
      <c r="A33" s="428">
        <v>15</v>
      </c>
      <c r="B33" s="863"/>
      <c r="C33" s="444" t="s">
        <v>96</v>
      </c>
      <c r="D33" s="429" t="s">
        <v>122</v>
      </c>
      <c r="E33" s="439" t="s">
        <v>517</v>
      </c>
      <c r="F33" s="440" t="s">
        <v>566</v>
      </c>
    </row>
    <row r="34" spans="1:6" ht="52.8" x14ac:dyDescent="0.4">
      <c r="A34" s="428">
        <v>16</v>
      </c>
      <c r="B34" s="863"/>
      <c r="C34" s="444" t="s">
        <v>82</v>
      </c>
      <c r="D34" s="429" t="s">
        <v>82</v>
      </c>
      <c r="E34" s="439" t="s">
        <v>518</v>
      </c>
      <c r="F34" s="435" t="s">
        <v>567</v>
      </c>
    </row>
    <row r="35" spans="1:6" s="452" customFormat="1" ht="39.6" x14ac:dyDescent="0.4">
      <c r="A35" s="453" t="s">
        <v>489</v>
      </c>
      <c r="B35" s="864"/>
      <c r="C35" s="454" t="s">
        <v>490</v>
      </c>
      <c r="D35" s="455" t="s">
        <v>86</v>
      </c>
      <c r="E35" s="456" t="s">
        <v>519</v>
      </c>
      <c r="F35" s="451" t="s">
        <v>537</v>
      </c>
    </row>
    <row r="36" spans="1:6" ht="40.5" customHeight="1" x14ac:dyDescent="0.4">
      <c r="A36" s="862">
        <v>17</v>
      </c>
      <c r="B36" s="862" t="s">
        <v>520</v>
      </c>
      <c r="C36" s="865" t="s">
        <v>472</v>
      </c>
      <c r="D36" s="429" t="s">
        <v>123</v>
      </c>
      <c r="E36" s="439" t="s">
        <v>521</v>
      </c>
      <c r="F36" s="440" t="s">
        <v>568</v>
      </c>
    </row>
    <row r="37" spans="1:6" ht="52.5" customHeight="1" x14ac:dyDescent="0.4">
      <c r="A37" s="864"/>
      <c r="B37" s="864"/>
      <c r="C37" s="866"/>
      <c r="D37" s="429" t="s">
        <v>124</v>
      </c>
      <c r="E37" s="439" t="s">
        <v>522</v>
      </c>
      <c r="F37" s="440" t="s">
        <v>569</v>
      </c>
    </row>
    <row r="38" spans="1:6" s="452" customFormat="1" ht="39.6" x14ac:dyDescent="0.4">
      <c r="A38" s="453" t="s">
        <v>489</v>
      </c>
      <c r="B38" s="453" t="s">
        <v>125</v>
      </c>
      <c r="C38" s="454" t="s">
        <v>490</v>
      </c>
      <c r="D38" s="455" t="s">
        <v>125</v>
      </c>
      <c r="E38" s="456" t="s">
        <v>48</v>
      </c>
      <c r="F38" s="451" t="s">
        <v>537</v>
      </c>
    </row>
  </sheetData>
  <sheetProtection formatCells="0" formatColumns="0" formatRows="0" insertColumns="0" insertRows="0" insertHyperlinks="0" deleteColumns="0"/>
  <mergeCells count="33">
    <mergeCell ref="A1:F1"/>
    <mergeCell ref="B4:B11"/>
    <mergeCell ref="A5:A6"/>
    <mergeCell ref="C5:C6"/>
    <mergeCell ref="A7:A10"/>
    <mergeCell ref="C7:C10"/>
    <mergeCell ref="D7:D10"/>
    <mergeCell ref="F7:F10"/>
    <mergeCell ref="E9:E10"/>
    <mergeCell ref="B12:B13"/>
    <mergeCell ref="A14:A16"/>
    <mergeCell ref="B14:B16"/>
    <mergeCell ref="C14:C16"/>
    <mergeCell ref="A17:A18"/>
    <mergeCell ref="B17:B22"/>
    <mergeCell ref="C17:C18"/>
    <mergeCell ref="C20:C22"/>
    <mergeCell ref="D20:D22"/>
    <mergeCell ref="A20:A22"/>
    <mergeCell ref="F20:F22"/>
    <mergeCell ref="A23:A24"/>
    <mergeCell ref="B23:B24"/>
    <mergeCell ref="C23:C24"/>
    <mergeCell ref="B32:B35"/>
    <mergeCell ref="A36:A37"/>
    <mergeCell ref="B36:B37"/>
    <mergeCell ref="C36:C37"/>
    <mergeCell ref="A25:A27"/>
    <mergeCell ref="B25:B28"/>
    <mergeCell ref="C25:C27"/>
    <mergeCell ref="A29:A31"/>
    <mergeCell ref="B29:B31"/>
    <mergeCell ref="C29:C31"/>
  </mergeCells>
  <phoneticPr fontId="2"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D20"/>
  <sheetViews>
    <sheetView topLeftCell="A2" workbookViewId="0">
      <selection activeCell="B4" sqref="B4:B20"/>
    </sheetView>
  </sheetViews>
  <sheetFormatPr defaultRowHeight="17.399999999999999" x14ac:dyDescent="0.4"/>
  <cols>
    <col min="1" max="1" width="15.19921875" customWidth="1"/>
    <col min="2" max="2" width="24.69921875" customWidth="1"/>
    <col min="3" max="3" width="21" style="31" customWidth="1"/>
    <col min="4" max="4" width="67.69921875" customWidth="1"/>
  </cols>
  <sheetData>
    <row r="1" spans="1:4" ht="30" x14ac:dyDescent="0.4">
      <c r="A1" s="873" t="s">
        <v>57</v>
      </c>
      <c r="B1" s="873"/>
      <c r="C1" s="873"/>
    </row>
    <row r="2" spans="1:4" x14ac:dyDescent="0.4">
      <c r="A2" s="22"/>
      <c r="B2" s="23"/>
      <c r="C2" s="23"/>
    </row>
    <row r="3" spans="1:4" x14ac:dyDescent="0.4">
      <c r="A3" s="25" t="s">
        <v>58</v>
      </c>
      <c r="B3" s="26" t="s">
        <v>363</v>
      </c>
      <c r="C3" s="26" t="s">
        <v>126</v>
      </c>
      <c r="D3" s="303" t="s">
        <v>33</v>
      </c>
    </row>
    <row r="4" spans="1:4" ht="51" customHeight="1" x14ac:dyDescent="0.4">
      <c r="A4" s="302" t="s">
        <v>364</v>
      </c>
      <c r="B4" s="45" t="s">
        <v>83</v>
      </c>
      <c r="C4" s="51" t="s">
        <v>101</v>
      </c>
      <c r="D4" s="304" t="s">
        <v>34</v>
      </c>
    </row>
    <row r="5" spans="1:4" ht="51" customHeight="1" x14ac:dyDescent="0.4">
      <c r="A5" s="302" t="s">
        <v>364</v>
      </c>
      <c r="B5" s="45" t="s">
        <v>81</v>
      </c>
      <c r="C5" s="51" t="s">
        <v>102</v>
      </c>
      <c r="D5" s="304" t="s">
        <v>35</v>
      </c>
    </row>
    <row r="6" spans="1:4" ht="51" customHeight="1" x14ac:dyDescent="0.4">
      <c r="A6" s="302" t="s">
        <v>365</v>
      </c>
      <c r="B6" s="45" t="s">
        <v>463</v>
      </c>
      <c r="C6" s="51" t="s">
        <v>103</v>
      </c>
      <c r="D6" s="304" t="s">
        <v>36</v>
      </c>
    </row>
    <row r="7" spans="1:4" ht="51" customHeight="1" x14ac:dyDescent="0.4">
      <c r="A7" s="302" t="s">
        <v>364</v>
      </c>
      <c r="B7" s="45" t="s">
        <v>85</v>
      </c>
      <c r="C7" s="51" t="s">
        <v>104</v>
      </c>
      <c r="D7" s="304" t="s">
        <v>372</v>
      </c>
    </row>
    <row r="8" spans="1:4" ht="51" customHeight="1" x14ac:dyDescent="0.4">
      <c r="A8" s="302" t="s">
        <v>365</v>
      </c>
      <c r="B8" s="45" t="s">
        <v>95</v>
      </c>
      <c r="C8" s="51" t="s">
        <v>105</v>
      </c>
      <c r="D8" s="304" t="s">
        <v>37</v>
      </c>
    </row>
    <row r="9" spans="1:4" ht="51" customHeight="1" x14ac:dyDescent="0.4">
      <c r="A9" s="302" t="s">
        <v>366</v>
      </c>
      <c r="B9" s="45" t="s">
        <v>464</v>
      </c>
      <c r="C9" s="51" t="s">
        <v>106</v>
      </c>
      <c r="D9" s="304" t="s">
        <v>38</v>
      </c>
    </row>
    <row r="10" spans="1:4" ht="51" customHeight="1" x14ac:dyDescent="0.4">
      <c r="A10" s="302" t="s">
        <v>366</v>
      </c>
      <c r="B10" s="45" t="s">
        <v>465</v>
      </c>
      <c r="C10" s="51" t="s">
        <v>107</v>
      </c>
      <c r="D10" s="304" t="s">
        <v>39</v>
      </c>
    </row>
    <row r="11" spans="1:4" ht="51" customHeight="1" x14ac:dyDescent="0.4">
      <c r="A11" s="302" t="s">
        <v>367</v>
      </c>
      <c r="B11" s="45" t="s">
        <v>466</v>
      </c>
      <c r="C11" s="51" t="s">
        <v>108</v>
      </c>
      <c r="D11" s="304" t="s">
        <v>40</v>
      </c>
    </row>
    <row r="12" spans="1:4" ht="51" customHeight="1" x14ac:dyDescent="0.4">
      <c r="A12" s="302" t="s">
        <v>367</v>
      </c>
      <c r="B12" s="45" t="s">
        <v>467</v>
      </c>
      <c r="C12" s="51" t="s">
        <v>109</v>
      </c>
      <c r="D12" s="304" t="s">
        <v>41</v>
      </c>
    </row>
    <row r="13" spans="1:4" ht="51" customHeight="1" x14ac:dyDescent="0.4">
      <c r="A13" s="302" t="s">
        <v>367</v>
      </c>
      <c r="B13" s="45" t="s">
        <v>468</v>
      </c>
      <c r="C13" s="51" t="s">
        <v>110</v>
      </c>
      <c r="D13" s="304" t="s">
        <v>42</v>
      </c>
    </row>
    <row r="14" spans="1:4" ht="51" customHeight="1" x14ac:dyDescent="0.4">
      <c r="A14" s="302" t="s">
        <v>368</v>
      </c>
      <c r="B14" s="45" t="s">
        <v>469</v>
      </c>
      <c r="C14" s="51" t="s">
        <v>111</v>
      </c>
      <c r="D14" s="304" t="s">
        <v>43</v>
      </c>
    </row>
    <row r="15" spans="1:4" ht="51" customHeight="1" x14ac:dyDescent="0.4">
      <c r="A15" s="302" t="s">
        <v>368</v>
      </c>
      <c r="B15" s="45" t="s">
        <v>470</v>
      </c>
      <c r="C15" s="51" t="s">
        <v>112</v>
      </c>
      <c r="D15" s="304" t="s">
        <v>373</v>
      </c>
    </row>
    <row r="16" spans="1:4" ht="51" customHeight="1" x14ac:dyDescent="0.4">
      <c r="A16" s="302" t="s">
        <v>369</v>
      </c>
      <c r="B16" s="45" t="s">
        <v>471</v>
      </c>
      <c r="C16" s="51" t="s">
        <v>113</v>
      </c>
      <c r="D16" s="304" t="s">
        <v>374</v>
      </c>
    </row>
    <row r="17" spans="1:4" ht="51" customHeight="1" x14ac:dyDescent="0.4">
      <c r="A17" s="302" t="s">
        <v>369</v>
      </c>
      <c r="B17" s="45" t="s">
        <v>94</v>
      </c>
      <c r="C17" s="51" t="s">
        <v>114</v>
      </c>
      <c r="D17" s="304" t="s">
        <v>44</v>
      </c>
    </row>
    <row r="18" spans="1:4" ht="51" customHeight="1" x14ac:dyDescent="0.4">
      <c r="A18" s="302" t="s">
        <v>369</v>
      </c>
      <c r="B18" s="45" t="s">
        <v>96</v>
      </c>
      <c r="C18" s="51" t="s">
        <v>115</v>
      </c>
      <c r="D18" s="304" t="s">
        <v>45</v>
      </c>
    </row>
    <row r="19" spans="1:4" ht="51" customHeight="1" x14ac:dyDescent="0.4">
      <c r="A19" s="302" t="s">
        <v>370</v>
      </c>
      <c r="B19" s="45" t="s">
        <v>82</v>
      </c>
      <c r="C19" s="51" t="s">
        <v>116</v>
      </c>
      <c r="D19" s="304" t="s">
        <v>46</v>
      </c>
    </row>
    <row r="20" spans="1:4" ht="51" customHeight="1" x14ac:dyDescent="0.4">
      <c r="A20" s="302" t="s">
        <v>371</v>
      </c>
      <c r="B20" s="45" t="s">
        <v>472</v>
      </c>
      <c r="C20" s="51" t="s">
        <v>117</v>
      </c>
      <c r="D20" s="304" t="s">
        <v>47</v>
      </c>
    </row>
  </sheetData>
  <mergeCells count="1">
    <mergeCell ref="A1:C1"/>
  </mergeCells>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6"/>
    <pageSetUpPr fitToPage="1"/>
  </sheetPr>
  <dimension ref="A1:H20"/>
  <sheetViews>
    <sheetView view="pageBreakPreview" zoomScaleNormal="100" zoomScaleSheetLayoutView="100" workbookViewId="0">
      <selection activeCell="L6" sqref="L6"/>
    </sheetView>
  </sheetViews>
  <sheetFormatPr defaultColWidth="9" defaultRowHeight="40.5" customHeight="1" x14ac:dyDescent="0.4"/>
  <cols>
    <col min="1" max="1" width="24.69921875" style="39" customWidth="1"/>
    <col min="2" max="5" width="12.796875" style="39" customWidth="1"/>
    <col min="6" max="6" width="20.69921875" style="39" customWidth="1"/>
    <col min="7" max="7" width="22.69921875" style="8" customWidth="1"/>
    <col min="8" max="13" width="9" style="8"/>
    <col min="14" max="14" width="9" style="8" customWidth="1"/>
    <col min="15" max="16384" width="9" style="8"/>
  </cols>
  <sheetData>
    <row r="1" spans="1:8" ht="40.5" customHeight="1" x14ac:dyDescent="0.4">
      <c r="A1" s="881" t="s">
        <v>127</v>
      </c>
      <c r="B1" s="881"/>
      <c r="C1" s="881"/>
      <c r="D1" s="881"/>
      <c r="E1" s="881"/>
      <c r="F1" s="881"/>
    </row>
    <row r="2" spans="1:8" s="38" customFormat="1" ht="18.75" customHeight="1" x14ac:dyDescent="0.4">
      <c r="A2" s="877" t="s">
        <v>59</v>
      </c>
      <c r="B2" s="40" t="s">
        <v>49</v>
      </c>
      <c r="C2" s="40" t="s">
        <v>60</v>
      </c>
      <c r="D2" s="41" t="s">
        <v>0</v>
      </c>
      <c r="E2" s="877" t="s">
        <v>98</v>
      </c>
      <c r="F2" s="878" t="s">
        <v>474</v>
      </c>
      <c r="G2" s="880"/>
      <c r="H2" s="37"/>
    </row>
    <row r="3" spans="1:8" s="38" customFormat="1" ht="18.75" customHeight="1" x14ac:dyDescent="0.4">
      <c r="A3" s="877"/>
      <c r="B3" s="42" t="s">
        <v>475</v>
      </c>
      <c r="C3" s="43">
        <v>0.5</v>
      </c>
      <c r="D3" s="44">
        <v>0.12</v>
      </c>
      <c r="E3" s="877"/>
      <c r="F3" s="879"/>
      <c r="G3" s="880"/>
      <c r="H3" s="37"/>
    </row>
    <row r="4" spans="1:8" ht="19.2" x14ac:dyDescent="0.4">
      <c r="A4" s="45" t="s">
        <v>83</v>
      </c>
      <c r="B4" s="45">
        <v>11597656</v>
      </c>
      <c r="C4" s="46">
        <f>B4*$C$3</f>
        <v>5798828</v>
      </c>
      <c r="D4" s="46">
        <f>(B4+C4)*$D$3</f>
        <v>2087578.0799999998</v>
      </c>
      <c r="E4" s="47">
        <f>SUM(B4:D4)</f>
        <v>19484062.079999998</v>
      </c>
      <c r="F4" s="48"/>
      <c r="G4" s="37"/>
      <c r="H4" s="458"/>
    </row>
    <row r="5" spans="1:8" ht="19.2" x14ac:dyDescent="0.4">
      <c r="A5" s="45" t="s">
        <v>81</v>
      </c>
      <c r="B5" s="45">
        <v>9706020</v>
      </c>
      <c r="C5" s="46">
        <f t="shared" ref="C5:C20" si="0">B5*$C$3</f>
        <v>4853010</v>
      </c>
      <c r="D5" s="46">
        <f t="shared" ref="D5:D20" si="1">(B5+C5)*$D$3</f>
        <v>1747083.5999999999</v>
      </c>
      <c r="E5" s="47">
        <f t="shared" ref="E5:E20" si="2">SUM(B5:D5)</f>
        <v>16306113.6</v>
      </c>
      <c r="F5" s="48" t="s">
        <v>362</v>
      </c>
      <c r="H5" s="458"/>
    </row>
    <row r="6" spans="1:8" ht="19.2" x14ac:dyDescent="0.4">
      <c r="A6" s="45" t="s">
        <v>463</v>
      </c>
      <c r="B6" s="45">
        <v>8997359</v>
      </c>
      <c r="C6" s="46">
        <f t="shared" si="0"/>
        <v>4498679.5</v>
      </c>
      <c r="D6" s="46">
        <f t="shared" si="1"/>
        <v>1619524.6199999999</v>
      </c>
      <c r="E6" s="47">
        <f t="shared" si="2"/>
        <v>15115563.119999999</v>
      </c>
      <c r="F6" s="48"/>
      <c r="H6" s="458"/>
    </row>
    <row r="7" spans="1:8" ht="19.2" x14ac:dyDescent="0.4">
      <c r="A7" s="45" t="s">
        <v>85</v>
      </c>
      <c r="B7" s="45">
        <v>7751183</v>
      </c>
      <c r="C7" s="46">
        <f t="shared" si="0"/>
        <v>3875591.5</v>
      </c>
      <c r="D7" s="46">
        <f t="shared" si="1"/>
        <v>1395212.94</v>
      </c>
      <c r="E7" s="47">
        <f t="shared" si="2"/>
        <v>13021987.439999999</v>
      </c>
      <c r="F7" s="48"/>
      <c r="H7" s="458"/>
    </row>
    <row r="8" spans="1:8" ht="19.2" x14ac:dyDescent="0.4">
      <c r="A8" s="45" t="s">
        <v>95</v>
      </c>
      <c r="B8" s="45">
        <v>9145473</v>
      </c>
      <c r="C8" s="46">
        <f t="shared" si="0"/>
        <v>4572736.5</v>
      </c>
      <c r="D8" s="46">
        <f t="shared" si="1"/>
        <v>1646185.14</v>
      </c>
      <c r="E8" s="47">
        <f t="shared" si="2"/>
        <v>15364394.640000001</v>
      </c>
      <c r="F8" s="48"/>
      <c r="H8" s="458"/>
    </row>
    <row r="9" spans="1:8" ht="46.8" x14ac:dyDescent="0.4">
      <c r="A9" s="45" t="s">
        <v>464</v>
      </c>
      <c r="B9" s="45">
        <v>10147745</v>
      </c>
      <c r="C9" s="46">
        <f t="shared" si="0"/>
        <v>5073872.5</v>
      </c>
      <c r="D9" s="46">
        <f t="shared" si="1"/>
        <v>1826594.0999999999</v>
      </c>
      <c r="E9" s="47">
        <f t="shared" si="2"/>
        <v>17048211.600000001</v>
      </c>
      <c r="F9" s="48" t="s">
        <v>457</v>
      </c>
      <c r="H9" s="458"/>
    </row>
    <row r="10" spans="1:8" ht="31.2" x14ac:dyDescent="0.4">
      <c r="A10" s="45" t="s">
        <v>465</v>
      </c>
      <c r="B10" s="45">
        <v>6727260</v>
      </c>
      <c r="C10" s="46">
        <f t="shared" si="0"/>
        <v>3363630</v>
      </c>
      <c r="D10" s="46">
        <f t="shared" si="1"/>
        <v>1210906.8</v>
      </c>
      <c r="E10" s="47">
        <f t="shared" si="2"/>
        <v>11301796.800000001</v>
      </c>
      <c r="F10" s="48" t="s">
        <v>458</v>
      </c>
      <c r="H10" s="458"/>
    </row>
    <row r="11" spans="1:8" ht="19.2" x14ac:dyDescent="0.4">
      <c r="A11" s="45" t="s">
        <v>466</v>
      </c>
      <c r="B11" s="45">
        <v>5176203</v>
      </c>
      <c r="C11" s="46">
        <f t="shared" si="0"/>
        <v>2588101.5</v>
      </c>
      <c r="D11" s="46">
        <f t="shared" si="1"/>
        <v>931716.53999999992</v>
      </c>
      <c r="E11" s="47">
        <f t="shared" si="2"/>
        <v>8696021.0399999991</v>
      </c>
      <c r="F11" s="48"/>
      <c r="H11" s="458"/>
    </row>
    <row r="12" spans="1:8" ht="31.2" x14ac:dyDescent="0.4">
      <c r="A12" s="45" t="s">
        <v>467</v>
      </c>
      <c r="B12" s="45">
        <v>6943457</v>
      </c>
      <c r="C12" s="46">
        <f t="shared" si="0"/>
        <v>3471728.5</v>
      </c>
      <c r="D12" s="46">
        <f t="shared" si="1"/>
        <v>1249822.26</v>
      </c>
      <c r="E12" s="47">
        <f t="shared" si="2"/>
        <v>11665007.76</v>
      </c>
      <c r="F12" s="48" t="s">
        <v>473</v>
      </c>
      <c r="H12" s="458"/>
    </row>
    <row r="13" spans="1:8" ht="19.2" x14ac:dyDescent="0.4">
      <c r="A13" s="45" t="s">
        <v>468</v>
      </c>
      <c r="B13" s="45">
        <v>6099042</v>
      </c>
      <c r="C13" s="46">
        <f t="shared" si="0"/>
        <v>3049521</v>
      </c>
      <c r="D13" s="46">
        <f t="shared" si="1"/>
        <v>1097827.56</v>
      </c>
      <c r="E13" s="47">
        <f t="shared" si="2"/>
        <v>10246390.560000001</v>
      </c>
      <c r="F13" s="48" t="s">
        <v>459</v>
      </c>
      <c r="H13" s="458"/>
    </row>
    <row r="14" spans="1:8" ht="31.2" x14ac:dyDescent="0.4">
      <c r="A14" s="45" t="s">
        <v>469</v>
      </c>
      <c r="B14" s="45">
        <v>10154626</v>
      </c>
      <c r="C14" s="46">
        <f t="shared" si="0"/>
        <v>5077313</v>
      </c>
      <c r="D14" s="46">
        <f t="shared" si="1"/>
        <v>1827832.68</v>
      </c>
      <c r="E14" s="47">
        <f t="shared" si="2"/>
        <v>17059771.68</v>
      </c>
      <c r="F14" s="48" t="s">
        <v>460</v>
      </c>
      <c r="H14" s="458"/>
    </row>
    <row r="15" spans="1:8" ht="19.2" x14ac:dyDescent="0.4">
      <c r="A15" s="45" t="s">
        <v>470</v>
      </c>
      <c r="B15" s="45">
        <v>5058021</v>
      </c>
      <c r="C15" s="46">
        <f t="shared" si="0"/>
        <v>2529010.5</v>
      </c>
      <c r="D15" s="46">
        <f t="shared" si="1"/>
        <v>910443.77999999991</v>
      </c>
      <c r="E15" s="47">
        <f t="shared" si="2"/>
        <v>8497475.2799999993</v>
      </c>
      <c r="F15" s="48"/>
      <c r="H15" s="458"/>
    </row>
    <row r="16" spans="1:8" ht="31.2" x14ac:dyDescent="0.4">
      <c r="A16" s="45" t="s">
        <v>471</v>
      </c>
      <c r="B16" s="45">
        <v>11056617</v>
      </c>
      <c r="C16" s="46">
        <f t="shared" si="0"/>
        <v>5528308.5</v>
      </c>
      <c r="D16" s="46">
        <f t="shared" si="1"/>
        <v>1990191.0599999998</v>
      </c>
      <c r="E16" s="47">
        <f t="shared" si="2"/>
        <v>18575116.559999999</v>
      </c>
      <c r="F16" s="48" t="s">
        <v>461</v>
      </c>
      <c r="H16" s="458"/>
    </row>
    <row r="17" spans="1:8" ht="19.2" x14ac:dyDescent="0.4">
      <c r="A17" s="45" t="s">
        <v>94</v>
      </c>
      <c r="B17" s="45">
        <v>9692094</v>
      </c>
      <c r="C17" s="46">
        <f t="shared" si="0"/>
        <v>4846047</v>
      </c>
      <c r="D17" s="46">
        <f t="shared" si="1"/>
        <v>1744576.92</v>
      </c>
      <c r="E17" s="47">
        <f t="shared" si="2"/>
        <v>16282717.92</v>
      </c>
      <c r="F17" s="48"/>
      <c r="H17" s="458"/>
    </row>
    <row r="18" spans="1:8" ht="19.2" x14ac:dyDescent="0.4">
      <c r="A18" s="45" t="s">
        <v>96</v>
      </c>
      <c r="B18" s="45">
        <v>3570557</v>
      </c>
      <c r="C18" s="46">
        <f t="shared" si="0"/>
        <v>1785278.5</v>
      </c>
      <c r="D18" s="46">
        <f t="shared" si="1"/>
        <v>642700.26</v>
      </c>
      <c r="E18" s="47">
        <f t="shared" si="2"/>
        <v>5998535.7599999998</v>
      </c>
      <c r="F18" s="48"/>
      <c r="H18" s="458"/>
    </row>
    <row r="19" spans="1:8" ht="19.2" x14ac:dyDescent="0.4">
      <c r="A19" s="45" t="s">
        <v>82</v>
      </c>
      <c r="B19" s="45">
        <v>10351376</v>
      </c>
      <c r="C19" s="46">
        <f t="shared" si="0"/>
        <v>5175688</v>
      </c>
      <c r="D19" s="46">
        <f t="shared" si="1"/>
        <v>1863247.68</v>
      </c>
      <c r="E19" s="47">
        <f t="shared" si="2"/>
        <v>17390311.68</v>
      </c>
      <c r="F19" s="48"/>
      <c r="H19" s="458"/>
    </row>
    <row r="20" spans="1:8" ht="31.2" x14ac:dyDescent="0.4">
      <c r="A20" s="45" t="s">
        <v>472</v>
      </c>
      <c r="B20" s="45">
        <v>9857100</v>
      </c>
      <c r="C20" s="46">
        <f t="shared" si="0"/>
        <v>4928550</v>
      </c>
      <c r="D20" s="46">
        <f t="shared" si="1"/>
        <v>1774278</v>
      </c>
      <c r="E20" s="47">
        <f t="shared" si="2"/>
        <v>16559928</v>
      </c>
      <c r="F20" s="48" t="s">
        <v>462</v>
      </c>
      <c r="H20" s="458"/>
    </row>
  </sheetData>
  <mergeCells count="5">
    <mergeCell ref="A2:A3"/>
    <mergeCell ref="E2:E3"/>
    <mergeCell ref="F2:F3"/>
    <mergeCell ref="G2:G3"/>
    <mergeCell ref="A1:F1"/>
  </mergeCells>
  <phoneticPr fontId="2" type="noConversion"/>
  <dataValidations count="2">
    <dataValidation type="list" allowBlank="1" showInputMessage="1" showErrorMessage="1" sqref="WUX3 WLB3 WBF3 VRJ3 VHN3 UXR3 UNV3 UDZ3 TUD3 TKH3 TAL3 SQP3 SGT3 RWX3 RNB3 RDF3 QTJ3 QJN3 PZR3 PPV3 PFZ3 OWD3 OMH3 OCL3 NSP3 NIT3 MYX3 MPB3 MFF3 LVJ3 LLN3 LBR3 KRV3 KHZ3 JYD3 JOH3 JEL3 IUP3 IKT3 IAX3 HRB3 HHF3 GXJ3 GNN3 GDR3 FTV3 FJZ3 FAD3 EQH3 EGL3 DWP3 DMT3 DCX3 CTB3 CJF3 BZJ3 BPN3 BFR3 AVV3 ALZ3 ACD3 SH3 IL3" xr:uid="{00000000-0002-0000-0700-000000000000}">
      <formula1>"15%,16%,17%,18%,19%,20%,21%,22%,23%,24%,25%"</formula1>
    </dataValidation>
    <dataValidation type="list" allowBlank="1" showInputMessage="1" showErrorMessage="1" sqref="WUW3 WLA3 WBE3 VRI3 VHM3 UXQ3 UNU3 UDY3 TUC3 TKG3 TAK3 SQO3 SGS3 RWW3 RNA3 RDE3 QTI3 QJM3 PZQ3 PPU3 PFY3 OWC3 OMG3 OCK3 NSO3 NIS3 MYW3 MPA3 MFE3 LVI3 LLM3 LBQ3 KRU3 KHY3 JYC3 JOG3 JEK3 IUO3 IKS3 IAW3 HRA3 HHE3 GXI3 GNM3 GDQ3 FTU3 FJY3 FAC3 EQG3 EGK3 DWO3 DMS3 DCW3 CTA3 CJE3 BZI3 BPM3 BFQ3 AVU3 ALY3 ACC3 SG3 IK3" xr:uid="{00000000-0002-0000-0700-000001000000}">
      <formula1>"30%,35%,40%,45%,50%,55%,60%,65%,70%"</formula1>
    </dataValidation>
  </dataValidations>
  <pageMargins left="0.25" right="0.25" top="0.75" bottom="0.75" header="0.3" footer="0.3"/>
  <pageSetup paperSize="9" scale="94"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761D25B53884204386ED85ADCCD0F17D" ma:contentTypeVersion="0" ma:contentTypeDescription="새 문서를 만듭니다." ma:contentTypeScope="" ma:versionID="a9465d4f11310c3e09558c52447d846d">
  <xsd:schema xmlns:xsd="http://www.w3.org/2001/XMLSchema" xmlns:xs="http://www.w3.org/2001/XMLSchema" xmlns:p="http://schemas.microsoft.com/office/2006/metadata/properties" xmlns:ns2="e5284500-45ee-4e42-aeb3-b82623e299e7" targetNamespace="http://schemas.microsoft.com/office/2006/metadata/properties" ma:root="true" ma:fieldsID="a338033402a0213bcf8abdd0c7891829" ns2:_="">
    <xsd:import namespace="e5284500-45ee-4e42-aeb3-b82623e299e7"/>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84500-45ee-4e42-aeb3-b82623e299e7" elementFormDefault="qualified">
    <xsd:import namespace="http://schemas.microsoft.com/office/2006/documentManagement/types"/>
    <xsd:import namespace="http://schemas.microsoft.com/office/infopath/2007/PartnerControls"/>
    <xsd:element name="_dlc_DocId" ma:index="8" nillable="true" ma:displayName="문서 ID 값" ma:description="이 항목에 할당된 문서 ID 값입니다." ma:internalName="_dlc_DocId" ma:readOnly="true">
      <xsd:simpleType>
        <xsd:restriction base="dms:Text"/>
      </xsd:simpleType>
    </xsd:element>
    <xsd:element name="_dlc_DocIdUrl" ma:index="9" nillable="true" ma:displayName="문서 ID" ma:description="이 문서에 대한 영구 링크입니다."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영구 ID" ma:description="추가 시 ID를 유지합니다."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e5284500-45ee-4e42-aeb3-b82623e299e7">XAS55E3TYQSY-896-23</_dlc_DocId>
    <_dlc_DocIdUrl xmlns="e5284500-45ee-4e42-aeb3-b82623e299e7">
      <Url>http://echo.kt.com/SVP/_layouts/DocIdRedir.aspx?ID=XAS55E3TYQSY-896-23</Url>
      <Description>XAS55E3TYQSY-896-23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0745C7-4D56-4139-8391-46F7A93569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84500-45ee-4e42-aeb3-b82623e299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EEFA28-0B82-4138-8D76-74CE24ADB1F0}">
  <ds:schemaRefs>
    <ds:schemaRef ds:uri="http://schemas.microsoft.com/sharepoint/events"/>
  </ds:schemaRefs>
</ds:datastoreItem>
</file>

<file path=customXml/itemProps3.xml><?xml version="1.0" encoding="utf-8"?>
<ds:datastoreItem xmlns:ds="http://schemas.openxmlformats.org/officeDocument/2006/customXml" ds:itemID="{5E2BADB3-F6BA-4B44-BF86-29EF7ADB805A}">
  <ds:schemaRefs>
    <ds:schemaRef ds:uri="http://www.w3.org/XML/1998/namespace"/>
    <ds:schemaRef ds:uri="http://schemas.microsoft.com/office/infopath/2007/PartnerControls"/>
    <ds:schemaRef ds:uri="http://schemas.microsoft.com/office/2006/documentManagement/types"/>
    <ds:schemaRef ds:uri="http://purl.org/dc/dcmitype/"/>
    <ds:schemaRef ds:uri="http://purl.org/dc/terms/"/>
    <ds:schemaRef ds:uri="http://schemas.microsoft.com/office/2006/metadata/properties"/>
    <ds:schemaRef ds:uri="http://purl.org/dc/elements/1.1/"/>
    <ds:schemaRef ds:uri="e5284500-45ee-4e42-aeb3-b82623e299e7"/>
    <ds:schemaRef ds:uri="http://schemas.openxmlformats.org/package/2006/metadata/core-properties"/>
  </ds:schemaRefs>
</ds:datastoreItem>
</file>

<file path=customXml/itemProps4.xml><?xml version="1.0" encoding="utf-8"?>
<ds:datastoreItem xmlns:ds="http://schemas.openxmlformats.org/officeDocument/2006/customXml" ds:itemID="{440592BB-E22D-4F7D-8900-38C834EB2D3B}">
  <ds:schemaRefs>
    <ds:schemaRef ds:uri="http://schemas.microsoft.com/sharepoint/v3/contenttype/forms"/>
  </ds:schemaRefs>
</ds:datastoreItem>
</file>

<file path=docMetadata/LabelInfo.xml><?xml version="1.0" encoding="utf-8"?>
<clbl:labelList xmlns:clbl="http://schemas.microsoft.com/office/2020/mipLabelMetadata">
  <clbl:label id="{e6c9ec09-8430-4a99-bf15-242bc089b409}" enabled="0" method="" siteId="{e6c9ec09-8430-4a99-bf15-242bc089b40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 지정된 범위</vt:lpstr>
      </vt:variant>
      <vt:variant>
        <vt:i4>1</vt:i4>
      </vt:variant>
    </vt:vector>
  </HeadingPairs>
  <TitlesOfParts>
    <vt:vector size="9" baseType="lpstr">
      <vt:lpstr>1.필수작성</vt:lpstr>
      <vt:lpstr>2. 규모산정(FP)</vt:lpstr>
      <vt:lpstr>3.산정결과</vt:lpstr>
      <vt:lpstr>3_1.산정식</vt:lpstr>
      <vt:lpstr>4. MM기준 대가 산정('25년)</vt:lpstr>
      <vt:lpstr>직무체계</vt:lpstr>
      <vt:lpstr>직무별 정의</vt:lpstr>
      <vt:lpstr>※참조_사업 단가</vt:lpstr>
      <vt:lpstr>'※참조_사업 단가'!Print_Area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2013년_SW사업대가산정_MM기준Template</dc:title>
  <dc:creator>user</dc:creator>
  <cp:lastModifiedBy>민수 박</cp:lastModifiedBy>
  <cp:lastPrinted>2021-10-18T23:56:12Z</cp:lastPrinted>
  <dcterms:created xsi:type="dcterms:W3CDTF">2010-12-21T05:00:46Z</dcterms:created>
  <dcterms:modified xsi:type="dcterms:W3CDTF">2025-08-19T00:22:41Z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0x010100761D25B53884204386ED85ADCCD0F17D</vt:lpwstr>
  </property>
  <property fmtid="{D5CDD505-2E9C-101B-9397-08002B2CF9AE}" pid="3" name="_dlc_DocIdItemGuid">
    <vt:lpwstr>ef9097f8-cc70-4bee-b413-ed8ef111de5d</vt:lpwstr>
  </property>
  <property fmtid="{D5CDD505-2E9C-101B-9397-08002B2CF9AE}" pid="4" name="MSIP_Label_b367c47c-7c04-4ffb-b460-0af27cc1564d_SiteId">
    <vt:lpwstr>e6c9ec09-8430-4a99-bf15-242bc089b409</vt:lpwstr>
  </property>
  <property fmtid="{D5CDD505-2E9C-101B-9397-08002B2CF9AE}" pid="5" name="MSIP_Label_b367c47c-7c04-4ffb-b460-0af27cc1564d_SetDate">
    <vt:lpwstr>2025-03-28T00:23:52Z</vt:lpwstr>
  </property>
  <property fmtid="{D5CDD505-2E9C-101B-9397-08002B2CF9AE}" pid="6" name="MSIP_Label_b367c47c-7c04-4ffb-b460-0af27cc1564d_Name">
    <vt:lpwstr>KT</vt:lpwstr>
  </property>
  <property fmtid="{D5CDD505-2E9C-101B-9397-08002B2CF9AE}" pid="7" name="MSIP_Label_b367c47c-7c04-4ffb-b460-0af27cc1564d_Method">
    <vt:lpwstr>Privileged</vt:lpwstr>
  </property>
  <property fmtid="{D5CDD505-2E9C-101B-9397-08002B2CF9AE}" pid="8" name="MSIP_Label_b367c47c-7c04-4ffb-b460-0af27cc1564d_Enabled">
    <vt:lpwstr>true</vt:lpwstr>
  </property>
  <property fmtid="{D5CDD505-2E9C-101B-9397-08002B2CF9AE}" pid="9" name="MSIP_Label_b367c47c-7c04-4ffb-b460-0af27cc1564d_ContentBits">
    <vt:lpwstr>8</vt:lpwstr>
  </property>
</Properties>
</file>