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pivotTables/pivotTable1.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llre\Dropbox\Guidance\Blog Links\"/>
    </mc:Choice>
  </mc:AlternateContent>
  <xr:revisionPtr revIDLastSave="0" documentId="13_ncr:1_{C2A65FCE-4D0B-4927-BC7F-7F3BA51CA1D0}" xr6:coauthVersionLast="47" xr6:coauthVersionMax="47" xr10:uidLastSave="{00000000-0000-0000-0000-000000000000}"/>
  <bookViews>
    <workbookView xWindow="-180" yWindow="-210" windowWidth="20865" windowHeight="15285" xr2:uid="{BDD6DF2A-06A2-4432-B965-8E474EA80574}"/>
  </bookViews>
  <sheets>
    <sheet name="Cover" sheetId="20" r:id="rId1"/>
    <sheet name="Orientation" sheetId="45" state="hidden" r:id="rId2"/>
    <sheet name="Summary1" sheetId="30" r:id="rId3"/>
    <sheet name="Summary2" sheetId="47" state="hidden" r:id="rId4"/>
    <sheet name="Unreserved" sheetId="46" r:id="rId5"/>
    <sheet name="Infra" sheetId="23" r:id="rId6"/>
    <sheet name="Progress" sheetId="27" r:id="rId7"/>
    <sheet name="Visa Supply" sheetId="33" r:id="rId8"/>
    <sheet name="Pre-RIA China" sheetId="22" state="hidden" r:id="rId9"/>
    <sheet name="Pre-RIA India" sheetId="21" state="hidden" r:id="rId10"/>
    <sheet name="Derivatives" sheetId="36" r:id="rId11"/>
    <sheet name="Post-RIA" sheetId="48" r:id="rId12"/>
    <sheet name="Pre-RIA Data" sheetId="41" r:id="rId13"/>
    <sheet name="VB Log" sheetId="42" r:id="rId14"/>
    <sheet name="Notes" sheetId="24" r:id="rId15"/>
  </sheets>
  <definedNames>
    <definedName name="_xlnm.Print_Area" localSheetId="0">Cover!$B$1:$K$37</definedName>
    <definedName name="_xlnm.Print_Area" localSheetId="5">Infra!$B$1:$G$40</definedName>
    <definedName name="_xlnm.Print_Area" localSheetId="8">'Pre-RIA China'!$B$1:$U$53</definedName>
    <definedName name="_xlnm.Print_Area" localSheetId="9">'Pre-RIA India'!$A$1:$Q$44</definedName>
    <definedName name="_xlnm.Print_Titles">#REF!</definedName>
  </definedNames>
  <calcPr calcId="191029"/>
  <pivotCaches>
    <pivotCache cacheId="1"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27" l="1"/>
  <c r="L36" i="30"/>
  <c r="Y59" i="30"/>
  <c r="M61" i="30"/>
  <c r="L61" i="30"/>
  <c r="D54" i="30"/>
  <c r="D11" i="46"/>
  <c r="E22" i="27"/>
  <c r="F22" i="27"/>
  <c r="C7" i="30" l="1"/>
  <c r="D55" i="30"/>
  <c r="J73" i="27"/>
  <c r="J72" i="27"/>
  <c r="I72" i="27"/>
  <c r="Y78" i="48"/>
  <c r="Z77" i="48"/>
  <c r="Y55" i="48"/>
  <c r="V54" i="48"/>
  <c r="V55" i="48" s="1"/>
  <c r="W55" i="48"/>
  <c r="X55" i="48"/>
  <c r="Z49" i="48"/>
  <c r="Z50" i="48"/>
  <c r="Z51" i="48"/>
  <c r="Z52" i="48"/>
  <c r="Z53" i="48"/>
  <c r="Z48" i="48"/>
  <c r="Y71" i="48"/>
  <c r="Y72" i="48"/>
  <c r="Y73" i="48"/>
  <c r="Y74" i="48"/>
  <c r="Y75" i="48"/>
  <c r="Y76" i="48"/>
  <c r="Y70" i="48"/>
  <c r="V77" i="48"/>
  <c r="W77" i="48"/>
  <c r="X77" i="48"/>
  <c r="G22" i="27"/>
  <c r="D22" i="27"/>
  <c r="Y77" i="48" l="1"/>
  <c r="X54" i="48"/>
  <c r="W54" i="48"/>
  <c r="Y53" i="48"/>
  <c r="Y52" i="48"/>
  <c r="Y51" i="48"/>
  <c r="Y50" i="48"/>
  <c r="Y49" i="48"/>
  <c r="Y48" i="48"/>
  <c r="Z70" i="48" l="1"/>
  <c r="Z73" i="48"/>
  <c r="Z75" i="48"/>
  <c r="Z76" i="48"/>
  <c r="Z71" i="48"/>
  <c r="X78" i="48"/>
  <c r="Z72" i="48"/>
  <c r="V78" i="48"/>
  <c r="W78" i="48"/>
  <c r="Z74" i="48"/>
  <c r="Y54" i="48"/>
  <c r="C8" i="30"/>
  <c r="W59" i="30"/>
  <c r="M33" i="30"/>
  <c r="G76" i="27"/>
  <c r="D36" i="30"/>
  <c r="L68" i="30"/>
  <c r="M68" i="30"/>
  <c r="G75" i="27"/>
  <c r="D75" i="27"/>
  <c r="H32" i="23"/>
  <c r="F18" i="41" l="1"/>
  <c r="D29" i="33"/>
  <c r="D62" i="33"/>
  <c r="D8" i="33"/>
  <c r="O36" i="48"/>
  <c r="M34" i="23" l="1"/>
  <c r="Q27" i="48"/>
  <c r="U67" i="30"/>
  <c r="U64" i="30"/>
  <c r="V27" i="48"/>
  <c r="V28" i="48"/>
  <c r="V29" i="48"/>
  <c r="S27" i="48" l="1"/>
  <c r="W27" i="48"/>
  <c r="AA27" i="48" s="1"/>
  <c r="V30" i="48"/>
  <c r="W30" i="48" s="1"/>
  <c r="AA30" i="48" s="1"/>
  <c r="W28" i="48"/>
  <c r="AA28" i="48" s="1"/>
  <c r="W29" i="48"/>
  <c r="AA29" i="48" s="1"/>
  <c r="W65" i="48"/>
  <c r="X65" i="48"/>
  <c r="V65" i="48"/>
  <c r="Y60" i="48"/>
  <c r="Y61" i="48"/>
  <c r="Y62" i="48"/>
  <c r="Y63" i="48"/>
  <c r="Y64" i="48"/>
  <c r="Y59" i="48"/>
  <c r="P13" i="48"/>
  <c r="Q13" i="48"/>
  <c r="R13" i="48"/>
  <c r="O13" i="48"/>
  <c r="S12" i="48"/>
  <c r="S11" i="48"/>
  <c r="S10" i="48"/>
  <c r="Q33" i="48"/>
  <c r="S33" i="48" s="1"/>
  <c r="S5" i="48"/>
  <c r="S6" i="48"/>
  <c r="S4" i="48"/>
  <c r="Q28" i="48"/>
  <c r="S28" i="48" s="1"/>
  <c r="Q29" i="48"/>
  <c r="S29" i="48" s="1"/>
  <c r="Q30" i="48"/>
  <c r="S30" i="48" s="1"/>
  <c r="Q31" i="48"/>
  <c r="S31" i="48" s="1"/>
  <c r="Q32" i="48"/>
  <c r="S32" i="48" s="1"/>
  <c r="Y65" i="48" l="1"/>
  <c r="Q34" i="48"/>
  <c r="S34" i="48" s="1"/>
  <c r="Z63" i="48"/>
  <c r="Z65" i="48"/>
  <c r="V66" i="48"/>
  <c r="Z62" i="48"/>
  <c r="Z60" i="48"/>
  <c r="Z61" i="48"/>
  <c r="W66" i="48"/>
  <c r="X66" i="48"/>
  <c r="S13" i="48"/>
  <c r="R60" i="30"/>
  <c r="S60" i="30"/>
  <c r="T60" i="30"/>
  <c r="Q60" i="30"/>
  <c r="U61" i="30"/>
  <c r="E59" i="33"/>
  <c r="F63" i="33" s="1"/>
  <c r="G28" i="30"/>
  <c r="Y66" i="48" l="1"/>
  <c r="Z64" i="48"/>
  <c r="Z59" i="48"/>
  <c r="Z54" i="48"/>
  <c r="V64" i="46"/>
  <c r="V63" i="46"/>
  <c r="U63" i="46"/>
  <c r="V62" i="46"/>
  <c r="U62" i="46"/>
  <c r="V61" i="46"/>
  <c r="U61" i="46"/>
  <c r="V60" i="46"/>
  <c r="U60" i="46"/>
  <c r="V59" i="46"/>
  <c r="U59" i="46"/>
  <c r="V58" i="46"/>
  <c r="U58" i="46"/>
  <c r="V57" i="46"/>
  <c r="U57" i="46"/>
  <c r="V56" i="46"/>
  <c r="U56" i="46"/>
  <c r="V55" i="46"/>
  <c r="U55" i="46"/>
  <c r="V54" i="46"/>
  <c r="U54" i="46"/>
  <c r="W69" i="30" l="1"/>
  <c r="Z55" i="30"/>
  <c r="Y66" i="30"/>
  <c r="Y67" i="30"/>
  <c r="Y65" i="30"/>
  <c r="Y55" i="30"/>
  <c r="H22" i="23"/>
  <c r="Y57" i="30" l="1"/>
  <c r="Y56" i="30"/>
  <c r="E11" i="46"/>
  <c r="C11" i="46"/>
  <c r="J19" i="46"/>
  <c r="J18" i="46"/>
  <c r="J17" i="46"/>
  <c r="Q17" i="33"/>
  <c r="F17" i="33"/>
  <c r="Q8" i="33"/>
  <c r="E12" i="30"/>
  <c r="F12" i="30"/>
  <c r="D12" i="30"/>
  <c r="D7" i="30"/>
  <c r="D9" i="30" s="1"/>
  <c r="H27" i="33"/>
  <c r="D8" i="30" l="1"/>
  <c r="N59" i="33"/>
  <c r="O63" i="33" s="1"/>
  <c r="N58" i="33"/>
  <c r="P42" i="33"/>
  <c r="O42" i="33"/>
  <c r="N42" i="33"/>
  <c r="Q32" i="33"/>
  <c r="Q52" i="33" s="1"/>
  <c r="P32" i="33"/>
  <c r="P52" i="33" s="1"/>
  <c r="O30" i="33"/>
  <c r="O46" i="33" s="1"/>
  <c r="Q29" i="33"/>
  <c r="Q62" i="33" s="1"/>
  <c r="P29" i="33"/>
  <c r="P62" i="33" s="1"/>
  <c r="S28" i="33"/>
  <c r="S30" i="33" s="1"/>
  <c r="S46" i="33" s="1"/>
  <c r="Q28" i="33"/>
  <c r="Q30" i="33" s="1"/>
  <c r="P28" i="33"/>
  <c r="P30" i="33" s="1"/>
  <c r="P46" i="33" s="1"/>
  <c r="O28" i="33"/>
  <c r="O32" i="33" s="1"/>
  <c r="O52" i="33" s="1"/>
  <c r="N28" i="33"/>
  <c r="N32" i="33" s="1"/>
  <c r="N52" i="33" s="1"/>
  <c r="U28" i="33"/>
  <c r="T28" i="33"/>
  <c r="R28" i="33"/>
  <c r="V21" i="33"/>
  <c r="P21" i="33"/>
  <c r="V20" i="33"/>
  <c r="U20" i="33"/>
  <c r="T20" i="33"/>
  <c r="S20" i="33"/>
  <c r="R20" i="33"/>
  <c r="Q20" i="33"/>
  <c r="P20" i="33"/>
  <c r="O20" i="33"/>
  <c r="N20" i="33"/>
  <c r="V19" i="33"/>
  <c r="U19" i="33"/>
  <c r="T19" i="33"/>
  <c r="S19" i="33"/>
  <c r="R19" i="33"/>
  <c r="O19" i="33"/>
  <c r="N19" i="33"/>
  <c r="V18" i="33"/>
  <c r="U18" i="33"/>
  <c r="T18" i="33"/>
  <c r="S18" i="33"/>
  <c r="R18" i="33"/>
  <c r="O18" i="33"/>
  <c r="O21" i="33" s="1"/>
  <c r="N18" i="33"/>
  <c r="N21" i="33" s="1"/>
  <c r="V17" i="33"/>
  <c r="T31" i="33" l="1"/>
  <c r="T49" i="33" s="1"/>
  <c r="T30" i="33"/>
  <c r="T46" i="33" s="1"/>
  <c r="T32" i="33"/>
  <c r="T52" i="33" s="1"/>
  <c r="T29" i="33"/>
  <c r="P47" i="33"/>
  <c r="P53" i="33"/>
  <c r="Q53" i="33" s="1"/>
  <c r="R53" i="33" s="1"/>
  <c r="S53" i="33" s="1"/>
  <c r="U31" i="33"/>
  <c r="U49" i="33" s="1"/>
  <c r="U32" i="33"/>
  <c r="U52" i="33" s="1"/>
  <c r="U29" i="33"/>
  <c r="U30" i="33"/>
  <c r="U46" i="33" s="1"/>
  <c r="R30" i="33"/>
  <c r="R46" i="33" s="1"/>
  <c r="R29" i="33"/>
  <c r="R62" i="33" s="1"/>
  <c r="R32" i="33"/>
  <c r="R52" i="33" s="1"/>
  <c r="R31" i="33"/>
  <c r="R49" i="33" s="1"/>
  <c r="N54" i="33"/>
  <c r="N11" i="33" s="1"/>
  <c r="O53" i="33"/>
  <c r="O54" i="33" s="1"/>
  <c r="O11" i="33" s="1"/>
  <c r="Q46" i="33"/>
  <c r="Q33" i="33"/>
  <c r="S29" i="33"/>
  <c r="O31" i="33"/>
  <c r="O49" i="33" s="1"/>
  <c r="S32" i="33"/>
  <c r="S52" i="33" s="1"/>
  <c r="P31" i="33"/>
  <c r="P49" i="33" s="1"/>
  <c r="Q31" i="33"/>
  <c r="Q49" i="33" s="1"/>
  <c r="N31" i="33"/>
  <c r="N49" i="33" s="1"/>
  <c r="N30" i="33"/>
  <c r="N46" i="33" s="1"/>
  <c r="S31" i="33"/>
  <c r="S49" i="33" s="1"/>
  <c r="N29" i="33"/>
  <c r="N62" i="33" s="1"/>
  <c r="N64" i="33" s="1"/>
  <c r="N8" i="33" s="1"/>
  <c r="O29" i="33"/>
  <c r="O62" i="33" s="1"/>
  <c r="O64" i="33" s="1"/>
  <c r="O8" i="33" s="1"/>
  <c r="N48" i="33" l="1"/>
  <c r="O47" i="33"/>
  <c r="Q56" i="33"/>
  <c r="P50" i="33"/>
  <c r="Q50" i="33" s="1"/>
  <c r="P59" i="33"/>
  <c r="Q47" i="33"/>
  <c r="Q48" i="33" s="1"/>
  <c r="P58" i="33"/>
  <c r="N51" i="33"/>
  <c r="N10" i="33" s="1"/>
  <c r="O50" i="33"/>
  <c r="O51" i="33" s="1"/>
  <c r="O10" i="33" s="1"/>
  <c r="Q54" i="33"/>
  <c r="S54" i="33"/>
  <c r="T17" i="33"/>
  <c r="T21" i="33" s="1"/>
  <c r="T62" i="33"/>
  <c r="R54" i="33"/>
  <c r="P48" i="33"/>
  <c r="S17" i="33"/>
  <c r="S21" i="33" s="1"/>
  <c r="S62" i="33"/>
  <c r="P54" i="33"/>
  <c r="P11" i="33" s="1"/>
  <c r="U17" i="33"/>
  <c r="U21" i="33" s="1"/>
  <c r="U62" i="33"/>
  <c r="Q9" i="33" l="1"/>
  <c r="Q63" i="33"/>
  <c r="Q64" i="33" s="1"/>
  <c r="P60" i="33"/>
  <c r="P9" i="33"/>
  <c r="R11" i="33"/>
  <c r="R41" i="33"/>
  <c r="Q51" i="33"/>
  <c r="Q58" i="33"/>
  <c r="P51" i="33"/>
  <c r="P10" i="33" s="1"/>
  <c r="O59" i="33"/>
  <c r="P63" i="33" s="1"/>
  <c r="P64" i="33" s="1"/>
  <c r="P8" i="33" s="1"/>
  <c r="O58" i="33"/>
  <c r="O48" i="33"/>
  <c r="S41" i="33"/>
  <c r="S11" i="33"/>
  <c r="N9" i="33"/>
  <c r="N12" i="33" s="1"/>
  <c r="N55" i="33"/>
  <c r="Q41" i="33"/>
  <c r="Q11" i="33"/>
  <c r="T53" i="33"/>
  <c r="P67" i="33" l="1"/>
  <c r="P12" i="33"/>
  <c r="P55" i="33"/>
  <c r="O55" i="33"/>
  <c r="O9" i="33"/>
  <c r="O12" i="33" s="1"/>
  <c r="T54" i="33"/>
  <c r="U53" i="33" s="1"/>
  <c r="U54" i="33" s="1"/>
  <c r="Q10" i="33"/>
  <c r="Q12" i="33" s="1"/>
  <c r="Q55" i="33"/>
  <c r="U41" i="33" l="1"/>
  <c r="U11" i="33"/>
  <c r="T41" i="33"/>
  <c r="T11" i="33"/>
  <c r="I18" i="33" l="1"/>
  <c r="J18" i="33"/>
  <c r="I19" i="33"/>
  <c r="J19" i="33"/>
  <c r="I20" i="33"/>
  <c r="J20" i="33"/>
  <c r="F41" i="33"/>
  <c r="J28" i="33"/>
  <c r="I28" i="33"/>
  <c r="I29" i="33" s="1"/>
  <c r="I62" i="33" s="1"/>
  <c r="K21" i="33"/>
  <c r="K18" i="33" s="1"/>
  <c r="G17" i="46"/>
  <c r="G18" i="46"/>
  <c r="G19" i="46"/>
  <c r="G20" i="46"/>
  <c r="G16" i="46"/>
  <c r="G82" i="27"/>
  <c r="G83" i="27"/>
  <c r="G84" i="27"/>
  <c r="G85" i="27"/>
  <c r="G86" i="27"/>
  <c r="G87" i="27"/>
  <c r="G81" i="27"/>
  <c r="D88" i="27"/>
  <c r="D82" i="27"/>
  <c r="E88" i="27"/>
  <c r="F81" i="27" s="1"/>
  <c r="C88" i="27"/>
  <c r="F118" i="27"/>
  <c r="F117" i="27"/>
  <c r="J106" i="27"/>
  <c r="O99" i="27"/>
  <c r="C109" i="27" s="1"/>
  <c r="I128" i="27"/>
  <c r="I120" i="27"/>
  <c r="Y34" i="46"/>
  <c r="X34" i="46"/>
  <c r="W34" i="46"/>
  <c r="V34" i="46"/>
  <c r="T43" i="46"/>
  <c r="S43" i="46"/>
  <c r="Q42" i="46"/>
  <c r="Q41" i="46"/>
  <c r="Q40" i="46"/>
  <c r="Q39" i="46"/>
  <c r="Q38" i="46"/>
  <c r="Q37" i="46"/>
  <c r="D81" i="27" l="1"/>
  <c r="D83" i="27"/>
  <c r="D86" i="27"/>
  <c r="D85" i="27"/>
  <c r="D84" i="27"/>
  <c r="D87" i="27"/>
  <c r="I17" i="33"/>
  <c r="H18" i="46" s="1"/>
  <c r="I18" i="46" s="1"/>
  <c r="I21" i="33"/>
  <c r="K17" i="33"/>
  <c r="K19" i="33"/>
  <c r="K20" i="33"/>
  <c r="J29" i="33"/>
  <c r="J30" i="33"/>
  <c r="J46" i="33" s="1"/>
  <c r="J31" i="33"/>
  <c r="J49" i="33" s="1"/>
  <c r="J32" i="33"/>
  <c r="J52" i="33" s="1"/>
  <c r="I32" i="33"/>
  <c r="I52" i="33" s="1"/>
  <c r="I31" i="33"/>
  <c r="I49" i="33" s="1"/>
  <c r="I30" i="33"/>
  <c r="I46" i="33" s="1"/>
  <c r="F83" i="27"/>
  <c r="F87" i="27"/>
  <c r="F86" i="27"/>
  <c r="F85" i="27"/>
  <c r="G88" i="27"/>
  <c r="F88" i="27"/>
  <c r="F82" i="27"/>
  <c r="F84" i="27"/>
  <c r="E42" i="30"/>
  <c r="F42" i="30"/>
  <c r="G42" i="30"/>
  <c r="E43" i="30"/>
  <c r="F43" i="30"/>
  <c r="G43" i="30"/>
  <c r="E44" i="30"/>
  <c r="F44" i="30"/>
  <c r="G44" i="30"/>
  <c r="D43" i="30"/>
  <c r="D44" i="30"/>
  <c r="D42" i="30"/>
  <c r="D37" i="30"/>
  <c r="E37" i="30"/>
  <c r="F37" i="30"/>
  <c r="G37" i="30"/>
  <c r="D38" i="30"/>
  <c r="L38" i="30" s="1"/>
  <c r="E38" i="30"/>
  <c r="F38" i="30"/>
  <c r="G38" i="30"/>
  <c r="E36" i="30"/>
  <c r="M36" i="30" s="1"/>
  <c r="F36" i="30"/>
  <c r="G36" i="30"/>
  <c r="R7" i="48"/>
  <c r="Q7" i="48"/>
  <c r="P7" i="48"/>
  <c r="I43" i="30" l="1"/>
  <c r="M38" i="30"/>
  <c r="L43" i="30" s="1"/>
  <c r="M37" i="30"/>
  <c r="I37" i="30"/>
  <c r="L37" i="30"/>
  <c r="I36" i="30"/>
  <c r="I42" i="30"/>
  <c r="D65" i="30"/>
  <c r="L55" i="30"/>
  <c r="L75" i="30" s="1"/>
  <c r="E54" i="30"/>
  <c r="C36" i="30"/>
  <c r="J62" i="33"/>
  <c r="J17" i="33"/>
  <c r="H88" i="27"/>
  <c r="H86" i="27"/>
  <c r="H81" i="27"/>
  <c r="H87" i="27"/>
  <c r="H82" i="27"/>
  <c r="H84" i="27"/>
  <c r="H85" i="27"/>
  <c r="H83" i="27"/>
  <c r="O7" i="48"/>
  <c r="S7" i="48" s="1"/>
  <c r="R26" i="22"/>
  <c r="O34" i="23"/>
  <c r="K109" i="27"/>
  <c r="L42" i="30" l="1"/>
  <c r="L54" i="30"/>
  <c r="L41" i="30"/>
  <c r="J21" i="33"/>
  <c r="H19" i="46"/>
  <c r="I19" i="46" s="1"/>
  <c r="J107" i="27"/>
  <c r="L107" i="27" s="1"/>
  <c r="D14" i="46" s="1"/>
  <c r="L106" i="27"/>
  <c r="C14" i="46" s="1"/>
  <c r="N53" i="47"/>
  <c r="M53" i="47"/>
  <c r="L17" i="47"/>
  <c r="N17" i="47"/>
  <c r="M17" i="47"/>
  <c r="N16" i="47"/>
  <c r="M16" i="47"/>
  <c r="K17" i="47"/>
  <c r="J17" i="47"/>
  <c r="K16" i="47"/>
  <c r="J16" i="47"/>
  <c r="H17" i="47"/>
  <c r="H20" i="47" s="1"/>
  <c r="H23" i="47" s="1"/>
  <c r="H30" i="47" s="1"/>
  <c r="G17" i="47"/>
  <c r="G20" i="47" s="1"/>
  <c r="G23" i="47" s="1"/>
  <c r="G30" i="47" s="1"/>
  <c r="H16" i="47"/>
  <c r="H19" i="47" s="1"/>
  <c r="H22" i="47" s="1"/>
  <c r="H29" i="47" s="1"/>
  <c r="H35" i="47" s="1"/>
  <c r="G16" i="47"/>
  <c r="G19" i="47" s="1"/>
  <c r="G22" i="47" s="1"/>
  <c r="G29" i="47" s="1"/>
  <c r="G35" i="47" s="1"/>
  <c r="D17" i="47"/>
  <c r="D20" i="47" s="1"/>
  <c r="D23" i="47" s="1"/>
  <c r="E17" i="47"/>
  <c r="E20" i="47" s="1"/>
  <c r="E23" i="47" s="1"/>
  <c r="E16" i="47"/>
  <c r="E19" i="47" s="1"/>
  <c r="E22" i="47" s="1"/>
  <c r="D16" i="47"/>
  <c r="O17" i="47"/>
  <c r="O98" i="27"/>
  <c r="C106" i="27" s="1"/>
  <c r="O100" i="27"/>
  <c r="C107" i="27" s="1"/>
  <c r="O101" i="27"/>
  <c r="C108" i="27" s="1"/>
  <c r="O97" i="27"/>
  <c r="C105" i="27" s="1"/>
  <c r="L102" i="27"/>
  <c r="M102" i="27"/>
  <c r="K102" i="27"/>
  <c r="J117" i="27"/>
  <c r="H32" i="47"/>
  <c r="G32" i="47"/>
  <c r="D19" i="47"/>
  <c r="D22" i="47" s="1"/>
  <c r="E65" i="47"/>
  <c r="K117" i="27" l="1"/>
  <c r="L25" i="30" s="1"/>
  <c r="Q54" i="30" s="1"/>
  <c r="G54" i="47"/>
  <c r="G56" i="47" s="1"/>
  <c r="C110" i="27"/>
  <c r="F57" i="47"/>
  <c r="F27" i="47" s="1"/>
  <c r="F56" i="47"/>
  <c r="F26" i="47" s="1"/>
  <c r="L32" i="47"/>
  <c r="K32" i="47"/>
  <c r="J32" i="47"/>
  <c r="I32" i="47"/>
  <c r="O27" i="47"/>
  <c r="L27" i="47"/>
  <c r="I27" i="47"/>
  <c r="O26" i="47"/>
  <c r="L26" i="47"/>
  <c r="I26" i="47"/>
  <c r="O20" i="47"/>
  <c r="O23" i="47" s="1"/>
  <c r="L20" i="47"/>
  <c r="L23" i="47" s="1"/>
  <c r="K19" i="47"/>
  <c r="K22" i="47" s="1"/>
  <c r="K29" i="47" s="1"/>
  <c r="N20" i="47"/>
  <c r="N23" i="47" s="1"/>
  <c r="N30" i="47" s="1"/>
  <c r="M20" i="47"/>
  <c r="M23" i="47" s="1"/>
  <c r="M30" i="47" s="1"/>
  <c r="K20" i="47"/>
  <c r="K23" i="47" s="1"/>
  <c r="K30" i="47" s="1"/>
  <c r="J20" i="47"/>
  <c r="J23" i="47" s="1"/>
  <c r="J30" i="47" s="1"/>
  <c r="N19" i="47"/>
  <c r="N22" i="47" s="1"/>
  <c r="N29" i="47" s="1"/>
  <c r="M19" i="47"/>
  <c r="M22" i="47" s="1"/>
  <c r="M29" i="47" s="1"/>
  <c r="J19" i="47"/>
  <c r="J22" i="47" s="1"/>
  <c r="J29" i="47" s="1"/>
  <c r="G55" i="47" l="1"/>
  <c r="G57" i="47" s="1"/>
  <c r="N32" i="47"/>
  <c r="N35" i="47" s="1"/>
  <c r="J35" i="47"/>
  <c r="M32" i="47"/>
  <c r="M35" i="47" s="1"/>
  <c r="O32" i="47"/>
  <c r="L30" i="47"/>
  <c r="K35" i="47"/>
  <c r="O30" i="47"/>
  <c r="E24" i="46" l="1"/>
  <c r="D24" i="46"/>
  <c r="C24" i="46"/>
  <c r="E13" i="46"/>
  <c r="D13" i="46"/>
  <c r="C13" i="46"/>
  <c r="C15" i="46" s="1"/>
  <c r="L15" i="46" s="1"/>
  <c r="D26" i="46" l="1"/>
  <c r="D15" i="46"/>
  <c r="M15" i="46" s="1"/>
  <c r="G13" i="46"/>
  <c r="C26" i="46"/>
  <c r="C75" i="30"/>
  <c r="T54" i="30" s="1"/>
  <c r="C76" i="30"/>
  <c r="T55" i="30" s="1"/>
  <c r="Z54" i="30" s="1"/>
  <c r="Z59" i="30" s="1"/>
  <c r="G11" i="46"/>
  <c r="J17" i="23"/>
  <c r="J16" i="23"/>
  <c r="J15" i="23"/>
  <c r="H25" i="23"/>
  <c r="H17" i="23"/>
  <c r="H16" i="23"/>
  <c r="H15" i="23"/>
  <c r="J31" i="23" l="1"/>
  <c r="Z64" i="30"/>
  <c r="Z69" i="30" s="1"/>
  <c r="D23" i="46"/>
  <c r="J40" i="47"/>
  <c r="C23" i="46"/>
  <c r="H31" i="23"/>
  <c r="P63" i="27"/>
  <c r="P62" i="27"/>
  <c r="O62" i="27"/>
  <c r="P61" i="27"/>
  <c r="O61" i="27"/>
  <c r="M31" i="23" l="1"/>
  <c r="M32" i="23"/>
  <c r="L16" i="47" s="1"/>
  <c r="L19" i="47" s="1"/>
  <c r="L22" i="47" s="1"/>
  <c r="M33" i="23"/>
  <c r="O16" i="47" s="1"/>
  <c r="O19" i="47" s="1"/>
  <c r="O22" i="47" s="1"/>
  <c r="F16" i="47"/>
  <c r="F19" i="47" s="1"/>
  <c r="F22" i="47" s="1"/>
  <c r="F29" i="47" s="1"/>
  <c r="F35" i="47" s="1"/>
  <c r="G40" i="47"/>
  <c r="M52" i="30"/>
  <c r="F45" i="30"/>
  <c r="F46" i="30" s="1"/>
  <c r="O29" i="47" l="1"/>
  <c r="O35" i="47" s="1"/>
  <c r="S56" i="30"/>
  <c r="L29" i="47"/>
  <c r="L35" i="47" s="1"/>
  <c r="S55" i="30"/>
  <c r="M54" i="30"/>
  <c r="L39" i="30"/>
  <c r="E74" i="27"/>
  <c r="H74" i="27"/>
  <c r="F75" i="27"/>
  <c r="C75" i="27"/>
  <c r="M55" i="30" l="1"/>
  <c r="M39" i="30"/>
  <c r="J42" i="47"/>
  <c r="H55" i="27"/>
  <c r="H54" i="27"/>
  <c r="H53" i="27"/>
  <c r="E54" i="27"/>
  <c r="E55" i="27"/>
  <c r="G56" i="27"/>
  <c r="D56" i="27"/>
  <c r="E53" i="27"/>
  <c r="F56" i="27"/>
  <c r="C56" i="27"/>
  <c r="N55" i="30" l="1"/>
  <c r="N56" i="30" s="1"/>
  <c r="E56" i="27"/>
  <c r="H56" i="27"/>
  <c r="H73" i="27" l="1"/>
  <c r="E73" i="27"/>
  <c r="H72" i="27"/>
  <c r="E72" i="27"/>
  <c r="H71" i="27"/>
  <c r="E71" i="27"/>
  <c r="H70" i="27"/>
  <c r="E70" i="27"/>
  <c r="H69" i="27"/>
  <c r="E69" i="27"/>
  <c r="H68" i="27"/>
  <c r="E68" i="27"/>
  <c r="H67" i="27"/>
  <c r="E67" i="27"/>
  <c r="H66" i="27"/>
  <c r="E66" i="27"/>
  <c r="H65" i="27"/>
  <c r="E65" i="27"/>
  <c r="H64" i="27"/>
  <c r="E64" i="27"/>
  <c r="H63" i="27"/>
  <c r="E63" i="27"/>
  <c r="H62" i="27"/>
  <c r="E62" i="27"/>
  <c r="H61" i="27"/>
  <c r="E61" i="27"/>
  <c r="H75" i="27" l="1"/>
  <c r="E75" i="27"/>
  <c r="G137" i="27" l="1"/>
  <c r="F137" i="27"/>
  <c r="E137" i="27"/>
  <c r="F27" i="30" s="1"/>
  <c r="D137" i="27"/>
  <c r="F26" i="30" s="1"/>
  <c r="C137" i="27"/>
  <c r="F25" i="30" s="1"/>
  <c r="J136" i="27"/>
  <c r="K136" i="27" s="1"/>
  <c r="N27" i="30" s="1"/>
  <c r="J135" i="27"/>
  <c r="K135" i="27" s="1"/>
  <c r="N26" i="30" s="1"/>
  <c r="J134" i="27"/>
  <c r="K134" i="27" s="1"/>
  <c r="C128" i="27"/>
  <c r="E25" i="30" s="1"/>
  <c r="C120" i="27"/>
  <c r="D25" i="30" s="1"/>
  <c r="G26" i="30"/>
  <c r="G27" i="30"/>
  <c r="G25" i="30"/>
  <c r="K137" i="27" l="1"/>
  <c r="N25" i="30"/>
  <c r="N28" i="30" s="1"/>
  <c r="C25" i="30"/>
  <c r="J137" i="27"/>
  <c r="F28" i="30" s="1"/>
  <c r="F29" i="30" l="1"/>
  <c r="G5" i="30" l="1"/>
  <c r="G12" i="30" s="1"/>
  <c r="E7" i="30"/>
  <c r="F7" i="30"/>
  <c r="F59" i="30"/>
  <c r="F56" i="30"/>
  <c r="F54" i="30"/>
  <c r="G55" i="30"/>
  <c r="G56" i="30"/>
  <c r="M56" i="30" l="1"/>
  <c r="C44" i="30"/>
  <c r="E55" i="30"/>
  <c r="E56" i="30"/>
  <c r="G54" i="30"/>
  <c r="G57" i="30" s="1"/>
  <c r="G7" i="30"/>
  <c r="F39" i="30"/>
  <c r="F55" i="30"/>
  <c r="L56" i="30" l="1"/>
  <c r="C43" i="30"/>
  <c r="C42" i="30"/>
  <c r="H42" i="30" s="1"/>
  <c r="D45" i="30"/>
  <c r="G45" i="30"/>
  <c r="E45" i="30"/>
  <c r="E57" i="30"/>
  <c r="M69" i="30" s="1"/>
  <c r="D56" i="30"/>
  <c r="F57" i="30"/>
  <c r="E39" i="30"/>
  <c r="G39" i="30"/>
  <c r="D39" i="30"/>
  <c r="D59" i="30" l="1"/>
  <c r="H43" i="30"/>
  <c r="E59" i="30"/>
  <c r="E60" i="30" s="1"/>
  <c r="G59" i="30"/>
  <c r="G46" i="30"/>
  <c r="M57" i="30"/>
  <c r="L57" i="30"/>
  <c r="L77" i="30" s="1"/>
  <c r="E67" i="30"/>
  <c r="C45" i="30"/>
  <c r="E46" i="30" s="1"/>
  <c r="C56" i="30"/>
  <c r="C55" i="30"/>
  <c r="C54" i="30"/>
  <c r="D57" i="30"/>
  <c r="D67" i="30" s="1"/>
  <c r="F43" i="27"/>
  <c r="H43" i="27" s="1"/>
  <c r="F44" i="27"/>
  <c r="F45" i="27"/>
  <c r="F46" i="27"/>
  <c r="F42" i="27"/>
  <c r="H42" i="27" s="1"/>
  <c r="D47" i="27"/>
  <c r="E47" i="27"/>
  <c r="C47" i="27"/>
  <c r="E36" i="27"/>
  <c r="D36" i="27"/>
  <c r="F33" i="27"/>
  <c r="L69" i="30" l="1"/>
  <c r="D60" i="30"/>
  <c r="C59" i="30"/>
  <c r="C60" i="30" s="1"/>
  <c r="D46" i="30"/>
  <c r="E69" i="30"/>
  <c r="D69" i="30"/>
  <c r="L79" i="30"/>
  <c r="M77" i="30"/>
  <c r="M79" i="30"/>
  <c r="C57" i="30"/>
  <c r="C67" i="30" s="1"/>
  <c r="F47" i="27"/>
  <c r="G42" i="27" s="1"/>
  <c r="G45" i="27" l="1"/>
  <c r="G46" i="27"/>
  <c r="C69" i="30"/>
  <c r="G47" i="27"/>
  <c r="G43" i="27"/>
  <c r="G44" i="27"/>
  <c r="K15" i="41" l="1"/>
  <c r="D614" i="41" l="1"/>
  <c r="C614" i="41"/>
  <c r="G613" i="41"/>
  <c r="G614" i="41" s="1"/>
  <c r="E613" i="41"/>
  <c r="H612" i="41"/>
  <c r="E612" i="41"/>
  <c r="H611" i="41"/>
  <c r="E611" i="41"/>
  <c r="H610" i="41"/>
  <c r="E610" i="41"/>
  <c r="E614" i="41" s="1"/>
  <c r="I601" i="41"/>
  <c r="D599" i="41"/>
  <c r="D600" i="41" s="1"/>
  <c r="C599" i="41"/>
  <c r="C600" i="41" s="1"/>
  <c r="K598" i="41"/>
  <c r="J598" i="41"/>
  <c r="E598" i="41"/>
  <c r="K597" i="41"/>
  <c r="J597" i="41"/>
  <c r="E597" i="41"/>
  <c r="H597" i="41" s="1"/>
  <c r="K596" i="41"/>
  <c r="J596" i="41"/>
  <c r="E596" i="41"/>
  <c r="H596" i="41" s="1"/>
  <c r="K595" i="41"/>
  <c r="J595" i="41"/>
  <c r="E595" i="41"/>
  <c r="H595" i="41" s="1"/>
  <c r="K594" i="41"/>
  <c r="J594" i="41"/>
  <c r="L594" i="41" s="1"/>
  <c r="E594" i="41"/>
  <c r="H594" i="41" s="1"/>
  <c r="K593" i="41"/>
  <c r="J593" i="41"/>
  <c r="E593" i="41"/>
  <c r="H593" i="41" s="1"/>
  <c r="K592" i="41"/>
  <c r="J592" i="41"/>
  <c r="L592" i="41" s="1"/>
  <c r="E592" i="41"/>
  <c r="H592" i="41" s="1"/>
  <c r="E580" i="41"/>
  <c r="E579" i="41"/>
  <c r="J578" i="41"/>
  <c r="E578" i="41"/>
  <c r="J577" i="41"/>
  <c r="E577" i="41"/>
  <c r="J576" i="41"/>
  <c r="E576" i="41"/>
  <c r="J575" i="41"/>
  <c r="E575" i="41"/>
  <c r="L574" i="41"/>
  <c r="J574" i="41"/>
  <c r="E574" i="41"/>
  <c r="J573" i="41"/>
  <c r="E573" i="41"/>
  <c r="J572" i="41"/>
  <c r="E572" i="41"/>
  <c r="J571" i="41"/>
  <c r="E571" i="41"/>
  <c r="J570" i="41"/>
  <c r="E570" i="41"/>
  <c r="J569" i="41"/>
  <c r="E569" i="41"/>
  <c r="J568" i="41"/>
  <c r="E568" i="41"/>
  <c r="E567" i="41"/>
  <c r="E566" i="41"/>
  <c r="E565" i="41"/>
  <c r="E564" i="41"/>
  <c r="E563" i="41"/>
  <c r="E562" i="41"/>
  <c r="E561" i="41"/>
  <c r="E560" i="41"/>
  <c r="E559" i="41"/>
  <c r="E558" i="41"/>
  <c r="E557" i="41"/>
  <c r="E556" i="41"/>
  <c r="E555" i="41"/>
  <c r="E554" i="41"/>
  <c r="E553" i="41"/>
  <c r="E552" i="41"/>
  <c r="E551" i="41"/>
  <c r="E550" i="41"/>
  <c r="E549" i="41"/>
  <c r="E548" i="41"/>
  <c r="E547" i="41"/>
  <c r="E546" i="41"/>
  <c r="E545" i="41"/>
  <c r="E544" i="41"/>
  <c r="E543" i="41"/>
  <c r="E542" i="41"/>
  <c r="E541" i="41"/>
  <c r="E540" i="41"/>
  <c r="E539" i="41"/>
  <c r="E538" i="41"/>
  <c r="E537" i="41"/>
  <c r="E536" i="41"/>
  <c r="E535" i="41"/>
  <c r="E534" i="41"/>
  <c r="E533" i="41"/>
  <c r="E532" i="41"/>
  <c r="E531" i="41"/>
  <c r="E530" i="41"/>
  <c r="E529" i="41"/>
  <c r="E528" i="41"/>
  <c r="E527" i="41"/>
  <c r="E526" i="41"/>
  <c r="E525" i="41"/>
  <c r="E524" i="41"/>
  <c r="E523" i="41"/>
  <c r="E522" i="41"/>
  <c r="E521" i="41"/>
  <c r="E520" i="41"/>
  <c r="F509" i="41"/>
  <c r="F505" i="41"/>
  <c r="F501" i="41"/>
  <c r="F497" i="41"/>
  <c r="H486" i="41"/>
  <c r="G486" i="41"/>
  <c r="F486" i="41"/>
  <c r="H483" i="41"/>
  <c r="G483" i="41"/>
  <c r="F483" i="41"/>
  <c r="H480" i="41"/>
  <c r="G480" i="41"/>
  <c r="F480" i="41"/>
  <c r="H477" i="41"/>
  <c r="G477" i="41"/>
  <c r="F477" i="41"/>
  <c r="F471" i="41"/>
  <c r="F468" i="41"/>
  <c r="J461" i="41"/>
  <c r="H461" i="41"/>
  <c r="G461" i="41"/>
  <c r="F461" i="41"/>
  <c r="E461" i="41"/>
  <c r="D461" i="41"/>
  <c r="C461" i="41"/>
  <c r="I459" i="41"/>
  <c r="I458" i="41"/>
  <c r="I457" i="41"/>
  <c r="I456" i="41"/>
  <c r="I455" i="41"/>
  <c r="I454" i="41"/>
  <c r="I453" i="41"/>
  <c r="I452" i="41"/>
  <c r="I451" i="41"/>
  <c r="I450" i="41"/>
  <c r="I449" i="41"/>
  <c r="I448" i="41"/>
  <c r="I447" i="41"/>
  <c r="I446" i="41"/>
  <c r="I445" i="41"/>
  <c r="I444" i="41"/>
  <c r="I443" i="41"/>
  <c r="I442" i="41"/>
  <c r="I441" i="41"/>
  <c r="I440" i="41"/>
  <c r="I439" i="41"/>
  <c r="I438" i="41"/>
  <c r="I437" i="41"/>
  <c r="I436" i="41"/>
  <c r="I435" i="41"/>
  <c r="I434" i="41"/>
  <c r="I433" i="41"/>
  <c r="I432" i="41"/>
  <c r="I431" i="41"/>
  <c r="I430" i="41"/>
  <c r="I429" i="41"/>
  <c r="I428" i="41"/>
  <c r="I427" i="41"/>
  <c r="I426" i="41"/>
  <c r="I425" i="41"/>
  <c r="I424" i="41"/>
  <c r="I423" i="41"/>
  <c r="I422" i="41"/>
  <c r="I421" i="41"/>
  <c r="I420" i="41"/>
  <c r="I419" i="41"/>
  <c r="I418" i="41"/>
  <c r="I417" i="41"/>
  <c r="I416" i="41"/>
  <c r="I415" i="41"/>
  <c r="I414" i="41"/>
  <c r="I413" i="41"/>
  <c r="I412" i="41"/>
  <c r="I411" i="41"/>
  <c r="I410" i="41"/>
  <c r="I409" i="41"/>
  <c r="I408" i="41"/>
  <c r="I407" i="41"/>
  <c r="I406" i="41"/>
  <c r="I405" i="41"/>
  <c r="I404" i="41"/>
  <c r="I403" i="41"/>
  <c r="I402" i="41"/>
  <c r="I401" i="41"/>
  <c r="I400" i="41"/>
  <c r="I399" i="41"/>
  <c r="I398" i="41"/>
  <c r="I397" i="41"/>
  <c r="I396" i="41"/>
  <c r="I395" i="41"/>
  <c r="I394" i="41"/>
  <c r="I393" i="41"/>
  <c r="I392" i="41"/>
  <c r="I391" i="41"/>
  <c r="I390" i="41"/>
  <c r="I389" i="41"/>
  <c r="I388" i="41"/>
  <c r="I387" i="41"/>
  <c r="I386" i="41"/>
  <c r="I385" i="41"/>
  <c r="I384" i="41"/>
  <c r="I383" i="41"/>
  <c r="I382" i="41"/>
  <c r="I381" i="41"/>
  <c r="I380" i="41"/>
  <c r="I379" i="41"/>
  <c r="I378" i="41"/>
  <c r="I377" i="41"/>
  <c r="I376" i="41"/>
  <c r="I375" i="41"/>
  <c r="I374" i="41"/>
  <c r="I373" i="41"/>
  <c r="I372" i="41"/>
  <c r="I371" i="41"/>
  <c r="I370" i="41"/>
  <c r="I369" i="41"/>
  <c r="I368" i="41"/>
  <c r="I367" i="41"/>
  <c r="I366" i="41"/>
  <c r="I365" i="41"/>
  <c r="I364" i="41"/>
  <c r="I363" i="41"/>
  <c r="I362" i="41"/>
  <c r="I361" i="41"/>
  <c r="I360" i="41"/>
  <c r="I359" i="41"/>
  <c r="I358" i="41"/>
  <c r="I357" i="41"/>
  <c r="I356" i="41"/>
  <c r="I355" i="41"/>
  <c r="I354" i="41"/>
  <c r="I353" i="41"/>
  <c r="C337" i="41"/>
  <c r="D340" i="41" s="1"/>
  <c r="D336" i="41"/>
  <c r="E336" i="41" s="1"/>
  <c r="D332" i="41"/>
  <c r="E332" i="41" s="1"/>
  <c r="D328" i="41"/>
  <c r="E328" i="41" s="1"/>
  <c r="D324" i="41"/>
  <c r="E323" i="41" s="1"/>
  <c r="D320" i="41"/>
  <c r="E320" i="41" s="1"/>
  <c r="D316" i="41"/>
  <c r="E313" i="41" s="1"/>
  <c r="D312" i="41"/>
  <c r="E310" i="41" s="1"/>
  <c r="P245" i="41"/>
  <c r="J244" i="41"/>
  <c r="K244" i="41" s="1"/>
  <c r="H244" i="41"/>
  <c r="I244" i="41" s="1"/>
  <c r="C244" i="41"/>
  <c r="D244" i="41" s="1"/>
  <c r="T243" i="41"/>
  <c r="S243" i="41"/>
  <c r="R243" i="41"/>
  <c r="J243" i="41"/>
  <c r="K243" i="41" s="1"/>
  <c r="H243" i="41"/>
  <c r="I243" i="41" s="1"/>
  <c r="C243" i="41"/>
  <c r="D243" i="41" s="1"/>
  <c r="T242" i="41"/>
  <c r="S242" i="41"/>
  <c r="R242" i="41"/>
  <c r="J242" i="41"/>
  <c r="K242" i="41" s="1"/>
  <c r="H242" i="41"/>
  <c r="I242" i="41" s="1"/>
  <c r="C242" i="41"/>
  <c r="D242" i="41" s="1"/>
  <c r="T241" i="41"/>
  <c r="S241" i="41"/>
  <c r="R241" i="41"/>
  <c r="J241" i="41"/>
  <c r="K241" i="41" s="1"/>
  <c r="H241" i="41"/>
  <c r="I241" i="41" s="1"/>
  <c r="C241" i="41"/>
  <c r="D241" i="41" s="1"/>
  <c r="E241" i="41" s="1"/>
  <c r="T240" i="41"/>
  <c r="S240" i="41"/>
  <c r="R240" i="41"/>
  <c r="T239" i="41"/>
  <c r="S239" i="41"/>
  <c r="R239" i="41"/>
  <c r="K239" i="41"/>
  <c r="I239" i="41"/>
  <c r="D239" i="41"/>
  <c r="T238" i="41"/>
  <c r="S238" i="41"/>
  <c r="R238" i="41"/>
  <c r="K238" i="41"/>
  <c r="I238" i="41"/>
  <c r="D238" i="41"/>
  <c r="E238" i="41" s="1"/>
  <c r="T237" i="41"/>
  <c r="S237" i="41"/>
  <c r="R237" i="41"/>
  <c r="K237" i="41"/>
  <c r="I237" i="41"/>
  <c r="D237" i="41"/>
  <c r="D236" i="41"/>
  <c r="D235" i="41"/>
  <c r="I232" i="41"/>
  <c r="H232" i="41"/>
  <c r="G232" i="41"/>
  <c r="F232" i="41"/>
  <c r="E232" i="41"/>
  <c r="D232" i="41"/>
  <c r="C232" i="41"/>
  <c r="J224" i="41"/>
  <c r="I224" i="41"/>
  <c r="H224" i="41"/>
  <c r="G224" i="41"/>
  <c r="F224" i="41"/>
  <c r="E224" i="41"/>
  <c r="D224" i="41"/>
  <c r="C224" i="41"/>
  <c r="D218" i="41"/>
  <c r="H215" i="41" s="1"/>
  <c r="C218" i="41"/>
  <c r="G215" i="41" s="1"/>
  <c r="K217" i="41"/>
  <c r="E217" i="41"/>
  <c r="K216" i="41"/>
  <c r="E216" i="41"/>
  <c r="E215" i="41"/>
  <c r="L204" i="41"/>
  <c r="K204" i="41"/>
  <c r="J204" i="41"/>
  <c r="I204" i="41"/>
  <c r="H204" i="41"/>
  <c r="G204" i="41"/>
  <c r="F204" i="41"/>
  <c r="N202" i="41"/>
  <c r="P202" i="41" s="1"/>
  <c r="E202" i="41"/>
  <c r="E204" i="41" s="1"/>
  <c r="D202" i="41"/>
  <c r="D204" i="41" s="1"/>
  <c r="M197" i="41"/>
  <c r="L197" i="41"/>
  <c r="K197" i="41"/>
  <c r="O197" i="41" s="1"/>
  <c r="J197" i="41"/>
  <c r="I197" i="41"/>
  <c r="H197" i="41"/>
  <c r="G197" i="41"/>
  <c r="F197" i="41"/>
  <c r="L195" i="41"/>
  <c r="K195" i="41"/>
  <c r="J195" i="41"/>
  <c r="I195" i="41"/>
  <c r="H195" i="41"/>
  <c r="G195" i="41"/>
  <c r="F195" i="41"/>
  <c r="L193" i="41"/>
  <c r="K193" i="41"/>
  <c r="J193" i="41"/>
  <c r="I193" i="41"/>
  <c r="H193" i="41"/>
  <c r="G193" i="41"/>
  <c r="F193" i="41"/>
  <c r="E193" i="41"/>
  <c r="D193" i="41"/>
  <c r="Q191" i="41"/>
  <c r="P191" i="41"/>
  <c r="Q190" i="41"/>
  <c r="P190" i="41"/>
  <c r="L190" i="41"/>
  <c r="K190" i="41"/>
  <c r="J190" i="41"/>
  <c r="I190" i="41"/>
  <c r="H190" i="41"/>
  <c r="G190" i="41"/>
  <c r="F190" i="41"/>
  <c r="E190" i="41"/>
  <c r="D190" i="41"/>
  <c r="M189" i="41"/>
  <c r="M188" i="41"/>
  <c r="M194" i="41" s="1"/>
  <c r="M187" i="41"/>
  <c r="M186" i="41"/>
  <c r="H181" i="41"/>
  <c r="G181" i="41"/>
  <c r="F181" i="41"/>
  <c r="E181" i="41"/>
  <c r="D181" i="41"/>
  <c r="I180" i="41"/>
  <c r="I181" i="41" s="1"/>
  <c r="E170" i="41"/>
  <c r="D170" i="41"/>
  <c r="C170" i="41"/>
  <c r="F169" i="41"/>
  <c r="F168" i="41"/>
  <c r="F167" i="41"/>
  <c r="F166" i="41"/>
  <c r="F165" i="41"/>
  <c r="F164" i="41"/>
  <c r="F163" i="41"/>
  <c r="F162" i="41"/>
  <c r="F161" i="41"/>
  <c r="F160" i="41"/>
  <c r="J154" i="41"/>
  <c r="J155" i="41" s="1"/>
  <c r="I154" i="41"/>
  <c r="I155" i="41" s="1"/>
  <c r="H154" i="41"/>
  <c r="H155" i="41" s="1"/>
  <c r="E154" i="41"/>
  <c r="E155" i="41" s="1"/>
  <c r="D154" i="41"/>
  <c r="D155" i="41" s="1"/>
  <c r="C154" i="41"/>
  <c r="K153" i="41"/>
  <c r="F153" i="41"/>
  <c r="K152" i="41"/>
  <c r="F152" i="41"/>
  <c r="K151" i="41"/>
  <c r="F151" i="41"/>
  <c r="N141" i="41"/>
  <c r="O134" i="41"/>
  <c r="N134" i="41"/>
  <c r="N133" i="41"/>
  <c r="L126" i="41"/>
  <c r="M124" i="41"/>
  <c r="L124" i="41"/>
  <c r="I124" i="41"/>
  <c r="H124" i="41"/>
  <c r="D124" i="41"/>
  <c r="C124" i="41"/>
  <c r="K122" i="41"/>
  <c r="K124" i="41" s="1"/>
  <c r="J122" i="41"/>
  <c r="J124" i="41" s="1"/>
  <c r="G122" i="41"/>
  <c r="G124" i="41" s="1"/>
  <c r="F122" i="41"/>
  <c r="F124" i="41" s="1"/>
  <c r="E122" i="41"/>
  <c r="E124" i="41" s="1"/>
  <c r="M121" i="41"/>
  <c r="C121" i="41"/>
  <c r="L106" i="41"/>
  <c r="H98" i="41"/>
  <c r="H100" i="41" s="1"/>
  <c r="F98" i="41"/>
  <c r="F100" i="41" s="1"/>
  <c r="K92" i="41"/>
  <c r="K88" i="41"/>
  <c r="J83" i="41"/>
  <c r="I83" i="41"/>
  <c r="H83" i="41"/>
  <c r="G83" i="41"/>
  <c r="F83" i="41"/>
  <c r="E83" i="41"/>
  <c r="D83" i="41"/>
  <c r="C83" i="41"/>
  <c r="J82" i="41"/>
  <c r="H82" i="41"/>
  <c r="G82" i="41"/>
  <c r="F82" i="41"/>
  <c r="E82" i="41"/>
  <c r="D82" i="41"/>
  <c r="C82" i="41"/>
  <c r="J81" i="41"/>
  <c r="H81" i="41"/>
  <c r="G81" i="41"/>
  <c r="F81" i="41"/>
  <c r="E81" i="41"/>
  <c r="D81" i="41"/>
  <c r="C81" i="41"/>
  <c r="J80" i="41"/>
  <c r="H80" i="41"/>
  <c r="G80" i="41"/>
  <c r="F80" i="41"/>
  <c r="E80" i="41"/>
  <c r="D80" i="41"/>
  <c r="C80" i="41"/>
  <c r="J79" i="41"/>
  <c r="H79" i="41"/>
  <c r="G79" i="41"/>
  <c r="F79" i="41"/>
  <c r="E79" i="41"/>
  <c r="D79" i="41"/>
  <c r="C79" i="41"/>
  <c r="J78" i="41"/>
  <c r="H78" i="41"/>
  <c r="G78" i="41"/>
  <c r="F78" i="41"/>
  <c r="E78" i="41"/>
  <c r="D78" i="41"/>
  <c r="C78" i="41"/>
  <c r="J77" i="41"/>
  <c r="H77" i="41"/>
  <c r="G77" i="41"/>
  <c r="F77" i="41"/>
  <c r="E77" i="41"/>
  <c r="D77" i="41"/>
  <c r="C77" i="41"/>
  <c r="J76" i="41"/>
  <c r="H76" i="41"/>
  <c r="G76" i="41"/>
  <c r="F76" i="41"/>
  <c r="E76" i="41"/>
  <c r="D76" i="41"/>
  <c r="C76" i="41"/>
  <c r="J75" i="41"/>
  <c r="H75" i="41"/>
  <c r="G75" i="41"/>
  <c r="F75" i="41"/>
  <c r="E75" i="41"/>
  <c r="D75" i="41"/>
  <c r="C75" i="41"/>
  <c r="J74" i="41"/>
  <c r="H74" i="41"/>
  <c r="G74" i="41"/>
  <c r="F74" i="41"/>
  <c r="E74" i="41"/>
  <c r="D74" i="41"/>
  <c r="C74" i="41"/>
  <c r="E68" i="41"/>
  <c r="D68" i="41"/>
  <c r="C68" i="41"/>
  <c r="F66" i="41"/>
  <c r="F65" i="41"/>
  <c r="F64" i="41"/>
  <c r="F63" i="41"/>
  <c r="F62" i="41"/>
  <c r="F61" i="41"/>
  <c r="F60" i="41"/>
  <c r="F59" i="41"/>
  <c r="F58" i="41"/>
  <c r="S57" i="41"/>
  <c r="R57" i="41"/>
  <c r="Q57" i="41"/>
  <c r="P57" i="41"/>
  <c r="O57" i="41"/>
  <c r="N57" i="41"/>
  <c r="M57" i="41"/>
  <c r="L57" i="41"/>
  <c r="K57" i="41"/>
  <c r="F57" i="41"/>
  <c r="S56" i="41"/>
  <c r="R56" i="41"/>
  <c r="Q56" i="41"/>
  <c r="P56" i="41"/>
  <c r="O56" i="41"/>
  <c r="N56" i="41"/>
  <c r="M56" i="41"/>
  <c r="L56" i="41"/>
  <c r="K56" i="41"/>
  <c r="F56" i="41"/>
  <c r="S55" i="41"/>
  <c r="R55" i="41"/>
  <c r="Q55" i="41"/>
  <c r="P55" i="41"/>
  <c r="O55" i="41"/>
  <c r="N55" i="41"/>
  <c r="M55" i="41"/>
  <c r="L55" i="41"/>
  <c r="K55" i="41"/>
  <c r="F55" i="41"/>
  <c r="F54" i="41"/>
  <c r="H53" i="41"/>
  <c r="F53" i="41"/>
  <c r="F52" i="41"/>
  <c r="F51" i="41"/>
  <c r="F50" i="41"/>
  <c r="F49" i="41"/>
  <c r="F48" i="41"/>
  <c r="F47" i="41"/>
  <c r="F46" i="41"/>
  <c r="F45" i="41"/>
  <c r="F44" i="41"/>
  <c r="F43" i="41"/>
  <c r="F42" i="41"/>
  <c r="F41" i="41"/>
  <c r="F40" i="41"/>
  <c r="F39" i="41"/>
  <c r="F38" i="41"/>
  <c r="F37" i="41"/>
  <c r="F36" i="41"/>
  <c r="J17" i="41"/>
  <c r="J16" i="41"/>
  <c r="L14" i="41"/>
  <c r="K14" i="41"/>
  <c r="I14" i="41"/>
  <c r="K13" i="41"/>
  <c r="K12" i="41"/>
  <c r="K11" i="41"/>
  <c r="L10" i="41"/>
  <c r="K10" i="41"/>
  <c r="K9" i="41"/>
  <c r="K8" i="41"/>
  <c r="L573" i="41" l="1"/>
  <c r="L598" i="41"/>
  <c r="M596" i="41"/>
  <c r="L596" i="41"/>
  <c r="E317" i="41"/>
  <c r="L597" i="41"/>
  <c r="K58" i="41"/>
  <c r="K245" i="41"/>
  <c r="S58" i="41"/>
  <c r="T245" i="41"/>
  <c r="E318" i="41"/>
  <c r="E319" i="41"/>
  <c r="E334" i="41"/>
  <c r="N140" i="41"/>
  <c r="F68" i="41"/>
  <c r="M58" i="41"/>
  <c r="K155" i="41"/>
  <c r="N58" i="41"/>
  <c r="L577" i="41"/>
  <c r="E327" i="41"/>
  <c r="E309" i="41"/>
  <c r="E311" i="41"/>
  <c r="L576" i="41"/>
  <c r="K599" i="41"/>
  <c r="M600" i="41" s="1"/>
  <c r="S245" i="41"/>
  <c r="E333" i="41"/>
  <c r="E312" i="41"/>
  <c r="E314" i="41"/>
  <c r="E335" i="41"/>
  <c r="F154" i="41"/>
  <c r="L595" i="41"/>
  <c r="M193" i="41"/>
  <c r="H84" i="41"/>
  <c r="D84" i="41"/>
  <c r="E315" i="41"/>
  <c r="E330" i="41"/>
  <c r="Q58" i="41"/>
  <c r="C155" i="41"/>
  <c r="F155" i="41" s="1"/>
  <c r="O194" i="41"/>
  <c r="R245" i="41"/>
  <c r="E84" i="41"/>
  <c r="J599" i="41"/>
  <c r="R58" i="41"/>
  <c r="F170" i="41"/>
  <c r="E236" i="41"/>
  <c r="M597" i="41"/>
  <c r="E237" i="41"/>
  <c r="E239" i="41"/>
  <c r="I76" i="41"/>
  <c r="G84" i="41"/>
  <c r="C84" i="41"/>
  <c r="J84" i="41"/>
  <c r="L58" i="41"/>
  <c r="L578" i="41"/>
  <c r="M598" i="41"/>
  <c r="E242" i="41"/>
  <c r="L575" i="41"/>
  <c r="E244" i="41"/>
  <c r="E325" i="41"/>
  <c r="I74" i="41"/>
  <c r="I75" i="41"/>
  <c r="I77" i="41"/>
  <c r="I78" i="41"/>
  <c r="I79" i="41"/>
  <c r="I80" i="41"/>
  <c r="I81" i="41"/>
  <c r="I82" i="41"/>
  <c r="K17" i="41"/>
  <c r="O58" i="41"/>
  <c r="P58" i="41"/>
  <c r="F84" i="41"/>
  <c r="M190" i="41"/>
  <c r="E326" i="41"/>
  <c r="M595" i="41"/>
  <c r="I100" i="41"/>
  <c r="D245" i="41"/>
  <c r="E243" i="41"/>
  <c r="I245" i="41"/>
  <c r="E340" i="41"/>
  <c r="E339" i="41"/>
  <c r="E338" i="41"/>
  <c r="H614" i="41"/>
  <c r="G216" i="41"/>
  <c r="H216" i="41"/>
  <c r="I461" i="41"/>
  <c r="L593" i="41"/>
  <c r="G218" i="41"/>
  <c r="E316" i="41"/>
  <c r="M593" i="41"/>
  <c r="H218" i="41"/>
  <c r="E337" i="41"/>
  <c r="H613" i="41"/>
  <c r="E599" i="41"/>
  <c r="E600" i="41" s="1"/>
  <c r="E329" i="41"/>
  <c r="K154" i="41"/>
  <c r="G217" i="41"/>
  <c r="E218" i="41"/>
  <c r="C219" i="41" s="1"/>
  <c r="H217" i="41"/>
  <c r="E321" i="41"/>
  <c r="E331" i="41"/>
  <c r="E322" i="41"/>
  <c r="E324" i="41"/>
  <c r="M592" i="41"/>
  <c r="M594" i="41"/>
  <c r="I217" i="41" l="1"/>
  <c r="L599" i="41"/>
  <c r="K84" i="41"/>
  <c r="I84" i="41"/>
  <c r="E219" i="41"/>
  <c r="I218" i="41"/>
  <c r="I216" i="41"/>
  <c r="I215" i="41"/>
  <c r="J215" i="41" s="1"/>
  <c r="M215" i="41" s="1"/>
  <c r="D219" i="41"/>
  <c r="C50" i="36" l="1"/>
  <c r="F49" i="36" s="1"/>
  <c r="B50" i="36"/>
  <c r="D50" i="36" s="1"/>
  <c r="D49" i="36"/>
  <c r="G49" i="36" s="1"/>
  <c r="F48" i="36"/>
  <c r="E48" i="36"/>
  <c r="D48" i="36"/>
  <c r="F47" i="36"/>
  <c r="E47" i="36"/>
  <c r="D47" i="36"/>
  <c r="D40" i="36"/>
  <c r="D9" i="36" s="1"/>
  <c r="C40" i="36"/>
  <c r="G40" i="36" s="1"/>
  <c r="B40" i="36"/>
  <c r="H38" i="36"/>
  <c r="G38" i="36"/>
  <c r="F38" i="36"/>
  <c r="H37" i="36"/>
  <c r="G37" i="36"/>
  <c r="F37" i="36"/>
  <c r="H36" i="36"/>
  <c r="G36" i="36"/>
  <c r="F36" i="36"/>
  <c r="H35" i="36"/>
  <c r="G35" i="36"/>
  <c r="F35" i="36"/>
  <c r="H34" i="36"/>
  <c r="G34" i="36"/>
  <c r="F34" i="36"/>
  <c r="H33" i="36"/>
  <c r="G33" i="36"/>
  <c r="F33" i="36"/>
  <c r="H32" i="36"/>
  <c r="H40" i="36" s="1"/>
  <c r="G9" i="36" s="1"/>
  <c r="G32" i="36"/>
  <c r="F32" i="36"/>
  <c r="F40" i="36" s="1"/>
  <c r="O22" i="36"/>
  <c r="N22" i="36"/>
  <c r="M22" i="36"/>
  <c r="L22" i="36"/>
  <c r="K22" i="36"/>
  <c r="J22" i="36"/>
  <c r="I22" i="36"/>
  <c r="O21" i="36"/>
  <c r="N21" i="36"/>
  <c r="M21" i="36"/>
  <c r="L21" i="36"/>
  <c r="K21" i="36"/>
  <c r="J21" i="36"/>
  <c r="I21" i="36"/>
  <c r="O20" i="36"/>
  <c r="N20" i="36"/>
  <c r="M20" i="36"/>
  <c r="L20" i="36"/>
  <c r="K20" i="36"/>
  <c r="J20" i="36"/>
  <c r="I20" i="36"/>
  <c r="O19" i="36"/>
  <c r="N19" i="36"/>
  <c r="M19" i="36"/>
  <c r="L19" i="36"/>
  <c r="K19" i="36"/>
  <c r="J19" i="36"/>
  <c r="I19" i="36"/>
  <c r="O18" i="36"/>
  <c r="N18" i="36"/>
  <c r="M18" i="36"/>
  <c r="L18" i="36"/>
  <c r="K18" i="36"/>
  <c r="J18" i="36"/>
  <c r="I18" i="36"/>
  <c r="O17" i="36"/>
  <c r="N17" i="36"/>
  <c r="M17" i="36"/>
  <c r="L17" i="36"/>
  <c r="K17" i="36"/>
  <c r="J17" i="36"/>
  <c r="I17" i="36"/>
  <c r="O16" i="36"/>
  <c r="N16" i="36"/>
  <c r="M16" i="36"/>
  <c r="L16" i="36"/>
  <c r="K16" i="36"/>
  <c r="J16" i="36"/>
  <c r="I16" i="36"/>
  <c r="C9" i="36"/>
  <c r="F9" i="36" s="1"/>
  <c r="B9" i="36"/>
  <c r="E9" i="36" s="1"/>
  <c r="B8" i="36"/>
  <c r="E8" i="36" s="1"/>
  <c r="B7" i="36"/>
  <c r="G47" i="36" l="1"/>
  <c r="G48" i="36"/>
  <c r="E7" i="36"/>
  <c r="E49" i="36"/>
  <c r="G4" i="23" l="1"/>
  <c r="J61" i="23"/>
  <c r="F10" i="23" s="1"/>
  <c r="J51" i="23"/>
  <c r="E10" i="23" s="1"/>
  <c r="J47" i="23"/>
  <c r="D10" i="23" s="1"/>
  <c r="D4" i="23" l="1"/>
  <c r="G5" i="23"/>
  <c r="G10" i="23"/>
  <c r="E4" i="23"/>
  <c r="F4" i="23" s="1"/>
  <c r="D5" i="23" l="1"/>
  <c r="E5" i="23"/>
  <c r="F5" i="23" s="1"/>
  <c r="C38" i="30"/>
  <c r="C37" i="30"/>
  <c r="H37" i="30" l="1"/>
  <c r="H36" i="30"/>
  <c r="C39" i="30"/>
  <c r="D40" i="30" s="1"/>
  <c r="E40" i="30" l="1"/>
  <c r="C9" i="30"/>
  <c r="C65" i="30" s="1"/>
  <c r="H10" i="30"/>
  <c r="C10" i="30" l="1"/>
  <c r="G10" i="30"/>
  <c r="C66" i="30"/>
  <c r="C64" i="30"/>
  <c r="O24" i="21" l="1"/>
  <c r="E128" i="27" l="1"/>
  <c r="E27" i="30" s="1"/>
  <c r="E120" i="27"/>
  <c r="D27" i="30" l="1"/>
  <c r="C27" i="30" s="1"/>
  <c r="E114" i="27"/>
  <c r="E130" i="27"/>
  <c r="E110" i="27" l="1"/>
  <c r="D110" i="27"/>
  <c r="J102" i="27"/>
  <c r="I102" i="27"/>
  <c r="H102" i="27"/>
  <c r="G102" i="27"/>
  <c r="F102" i="27"/>
  <c r="E102" i="27"/>
  <c r="D102" i="27"/>
  <c r="C102" i="27"/>
  <c r="F108" i="27"/>
  <c r="J108" i="27" s="1"/>
  <c r="F106" i="27"/>
  <c r="F119" i="27" s="1"/>
  <c r="F120" i="27" s="1"/>
  <c r="O102" i="27" l="1"/>
  <c r="L108" i="27"/>
  <c r="E14" i="46" s="1"/>
  <c r="E26" i="46" s="1"/>
  <c r="J109" i="27"/>
  <c r="L109" i="27" s="1"/>
  <c r="F107" i="27"/>
  <c r="F126" i="27"/>
  <c r="J126" i="27" s="1"/>
  <c r="K54" i="47" s="1"/>
  <c r="F125" i="27"/>
  <c r="E15" i="46" l="1"/>
  <c r="G14" i="46"/>
  <c r="G26" i="46" s="1"/>
  <c r="J125" i="27"/>
  <c r="J118" i="27"/>
  <c r="J54" i="47" s="1"/>
  <c r="K55" i="47"/>
  <c r="K57" i="47" s="1"/>
  <c r="K56" i="47"/>
  <c r="G15" i="46"/>
  <c r="E23" i="46"/>
  <c r="K126" i="27"/>
  <c r="M26" i="30" s="1"/>
  <c r="R55" i="30" s="1"/>
  <c r="F10" i="30"/>
  <c r="F9" i="30"/>
  <c r="F8" i="30"/>
  <c r="E9" i="30"/>
  <c r="M75" i="30" s="1"/>
  <c r="E8" i="30"/>
  <c r="E64" i="30" s="1"/>
  <c r="E10" i="30"/>
  <c r="D10" i="30"/>
  <c r="F105" i="27"/>
  <c r="F110" i="27" s="1"/>
  <c r="C77" i="30" l="1"/>
  <c r="N15" i="46"/>
  <c r="M40" i="47" s="1"/>
  <c r="D40" i="47" s="1"/>
  <c r="E65" i="30"/>
  <c r="C78" i="30"/>
  <c r="T56" i="30"/>
  <c r="J56" i="47"/>
  <c r="J55" i="47"/>
  <c r="H54" i="47"/>
  <c r="K125" i="27"/>
  <c r="M25" i="30" s="1"/>
  <c r="R54" i="30" s="1"/>
  <c r="K118" i="27"/>
  <c r="L26" i="30" s="1"/>
  <c r="L74" i="30"/>
  <c r="D64" i="30"/>
  <c r="L76" i="30"/>
  <c r="D66" i="30"/>
  <c r="M76" i="30"/>
  <c r="E66" i="30"/>
  <c r="M74" i="30"/>
  <c r="G8" i="30"/>
  <c r="G9" i="30"/>
  <c r="M42" i="47" l="1"/>
  <c r="Q55" i="30"/>
  <c r="U55" i="30" s="1"/>
  <c r="Y54" i="30" s="1"/>
  <c r="K26" i="30"/>
  <c r="K25" i="30"/>
  <c r="T57" i="30"/>
  <c r="H56" i="47"/>
  <c r="H55" i="47"/>
  <c r="N55" i="47" s="1"/>
  <c r="J57" i="47"/>
  <c r="M55" i="47"/>
  <c r="D61" i="47"/>
  <c r="G128" i="27"/>
  <c r="D128" i="27"/>
  <c r="E26" i="30" s="1"/>
  <c r="G120" i="27"/>
  <c r="G121" i="27" s="1"/>
  <c r="D120" i="27"/>
  <c r="D26" i="30" s="1"/>
  <c r="C85" i="33"/>
  <c r="C81" i="33"/>
  <c r="C77" i="33"/>
  <c r="C59" i="33"/>
  <c r="D63" i="33" s="1"/>
  <c r="C58" i="33"/>
  <c r="D42" i="33"/>
  <c r="C42" i="33"/>
  <c r="H28" i="33"/>
  <c r="H30" i="33" s="1"/>
  <c r="H46" i="33" s="1"/>
  <c r="G28" i="33"/>
  <c r="G32" i="33" s="1"/>
  <c r="F28" i="33"/>
  <c r="F32" i="33" s="1"/>
  <c r="F52" i="33" s="1"/>
  <c r="E28" i="33"/>
  <c r="E31" i="33" s="1"/>
  <c r="E49" i="33" s="1"/>
  <c r="D28" i="33"/>
  <c r="D31" i="33" s="1"/>
  <c r="D49" i="33" s="1"/>
  <c r="C28" i="33"/>
  <c r="C31" i="33" s="1"/>
  <c r="C49" i="33" s="1"/>
  <c r="H20" i="33"/>
  <c r="G20" i="33"/>
  <c r="F20" i="33"/>
  <c r="E20" i="33"/>
  <c r="D20" i="33"/>
  <c r="C20" i="33"/>
  <c r="C21" i="33" s="1"/>
  <c r="H19" i="33"/>
  <c r="G19" i="33"/>
  <c r="D19" i="33"/>
  <c r="C19" i="33"/>
  <c r="H18" i="33"/>
  <c r="G18" i="33"/>
  <c r="D18" i="33"/>
  <c r="C18" i="33"/>
  <c r="D21" i="33" l="1"/>
  <c r="H29" i="33"/>
  <c r="H17" i="33" s="1"/>
  <c r="J119" i="27"/>
  <c r="H57" i="47"/>
  <c r="C26" i="30"/>
  <c r="G29" i="33"/>
  <c r="G62" i="33" s="1"/>
  <c r="G31" i="33"/>
  <c r="G49" i="33" s="1"/>
  <c r="F31" i="33"/>
  <c r="F49" i="33" s="1"/>
  <c r="F29" i="33"/>
  <c r="F62" i="33" s="1"/>
  <c r="E50" i="33"/>
  <c r="F50" i="33" s="1"/>
  <c r="H21" i="33"/>
  <c r="D50" i="33"/>
  <c r="D51" i="33" s="1"/>
  <c r="D10" i="33" s="1"/>
  <c r="C51" i="33"/>
  <c r="C10" i="33" s="1"/>
  <c r="G52" i="33"/>
  <c r="H31" i="33"/>
  <c r="H49" i="33" s="1"/>
  <c r="D32" i="33"/>
  <c r="D52" i="33" s="1"/>
  <c r="H62" i="33"/>
  <c r="E30" i="33"/>
  <c r="E32" i="33"/>
  <c r="E52" i="33" s="1"/>
  <c r="D30" i="33"/>
  <c r="F30" i="33"/>
  <c r="C30" i="33"/>
  <c r="G30" i="33"/>
  <c r="C32" i="33"/>
  <c r="C52" i="33" s="1"/>
  <c r="H32" i="33"/>
  <c r="H52" i="33" s="1"/>
  <c r="C29" i="33"/>
  <c r="E29" i="33"/>
  <c r="V55" i="30" l="1"/>
  <c r="Q66" i="30"/>
  <c r="AA54" i="30"/>
  <c r="S66" i="30"/>
  <c r="T66" i="30"/>
  <c r="R66" i="30"/>
  <c r="J120" i="27"/>
  <c r="F36" i="33" s="1"/>
  <c r="K119" i="27"/>
  <c r="F33" i="33"/>
  <c r="F95" i="33"/>
  <c r="G92" i="33"/>
  <c r="G95" i="33" s="1"/>
  <c r="F46" i="33"/>
  <c r="D46" i="33"/>
  <c r="E92" i="33"/>
  <c r="F93" i="33" s="1"/>
  <c r="F94" i="33" s="1"/>
  <c r="D53" i="33"/>
  <c r="D54" i="33" s="1"/>
  <c r="D11" i="33" s="1"/>
  <c r="C54" i="33"/>
  <c r="C11" i="33" s="1"/>
  <c r="G46" i="33"/>
  <c r="E51" i="33"/>
  <c r="E10" i="33" s="1"/>
  <c r="C46" i="33"/>
  <c r="C95" i="33"/>
  <c r="D92" i="33"/>
  <c r="E93" i="33" s="1"/>
  <c r="E94" i="33" s="1"/>
  <c r="D94" i="33"/>
  <c r="D64" i="33"/>
  <c r="E46" i="33"/>
  <c r="F92" i="33"/>
  <c r="G93" i="33" s="1"/>
  <c r="G94" i="33" s="1"/>
  <c r="E62" i="33"/>
  <c r="F51" i="33"/>
  <c r="F10" i="33" s="1"/>
  <c r="E53" i="33"/>
  <c r="F53" i="33" s="1"/>
  <c r="C94" i="33"/>
  <c r="C96" i="33" s="1"/>
  <c r="C62" i="33"/>
  <c r="C64" i="33" s="1"/>
  <c r="C8" i="33" s="1"/>
  <c r="K120" i="27" l="1"/>
  <c r="L27" i="30"/>
  <c r="D54" i="47"/>
  <c r="M54" i="47" s="1"/>
  <c r="D28" i="30"/>
  <c r="Q36" i="33"/>
  <c r="F18" i="33"/>
  <c r="F96" i="33"/>
  <c r="D95" i="33"/>
  <c r="D96" i="33" s="1"/>
  <c r="D56" i="47"/>
  <c r="D26" i="47" s="1"/>
  <c r="D57" i="47"/>
  <c r="M57" i="47" s="1"/>
  <c r="G53" i="33"/>
  <c r="F54" i="33"/>
  <c r="F11" i="33" s="1"/>
  <c r="E47" i="33"/>
  <c r="F56" i="33"/>
  <c r="E54" i="33"/>
  <c r="E11" i="33" s="1"/>
  <c r="G96" i="33"/>
  <c r="E95" i="33"/>
  <c r="E96" i="33" s="1"/>
  <c r="C48" i="33"/>
  <c r="C9" i="33" s="1"/>
  <c r="C12" i="33" s="1"/>
  <c r="D47" i="33"/>
  <c r="D27" i="47" l="1"/>
  <c r="D29" i="30"/>
  <c r="L58" i="30" s="1"/>
  <c r="Q56" i="30"/>
  <c r="L28" i="30"/>
  <c r="M56" i="47"/>
  <c r="Q18" i="33"/>
  <c r="Q37" i="33"/>
  <c r="R47" i="33"/>
  <c r="D29" i="47"/>
  <c r="D30" i="47"/>
  <c r="D36" i="47" s="1"/>
  <c r="D58" i="33"/>
  <c r="D59" i="33"/>
  <c r="E63" i="33" s="1"/>
  <c r="E64" i="33" s="1"/>
  <c r="E8" i="33" s="1"/>
  <c r="E12" i="33" s="1"/>
  <c r="F84" i="33"/>
  <c r="F85" i="33"/>
  <c r="C55" i="33"/>
  <c r="G54" i="33"/>
  <c r="G41" i="33" s="1"/>
  <c r="D48" i="33"/>
  <c r="D9" i="33" s="1"/>
  <c r="D12" i="33" s="1"/>
  <c r="E58" i="33"/>
  <c r="F47" i="33"/>
  <c r="E60" i="33"/>
  <c r="E48" i="33"/>
  <c r="E9" i="33" s="1"/>
  <c r="E84" i="33"/>
  <c r="E85" i="33"/>
  <c r="L59" i="30" l="1"/>
  <c r="Q57" i="30"/>
  <c r="R48" i="33"/>
  <c r="S47" i="33"/>
  <c r="D35" i="47"/>
  <c r="H53" i="33"/>
  <c r="G11" i="33"/>
  <c r="D55" i="33"/>
  <c r="E42" i="33"/>
  <c r="E55" i="33"/>
  <c r="F86" i="33"/>
  <c r="F58" i="33"/>
  <c r="G47" i="33"/>
  <c r="F48" i="33"/>
  <c r="F9" i="33" s="1"/>
  <c r="E86" i="33"/>
  <c r="F64" i="33"/>
  <c r="F8" i="33" s="1"/>
  <c r="E77" i="33"/>
  <c r="E21" i="33"/>
  <c r="E76" i="33"/>
  <c r="E78" i="33" s="1"/>
  <c r="E67" i="33"/>
  <c r="H13" i="46" s="1"/>
  <c r="S48" i="33" l="1"/>
  <c r="T47" i="33" s="1"/>
  <c r="R37" i="33"/>
  <c r="R9" i="33"/>
  <c r="H54" i="33"/>
  <c r="I53" i="33"/>
  <c r="I54" i="33" s="1"/>
  <c r="I11" i="33" s="1"/>
  <c r="H14" i="46"/>
  <c r="F12" i="33"/>
  <c r="G48" i="33"/>
  <c r="G9" i="33" s="1"/>
  <c r="E80" i="33"/>
  <c r="E81" i="33"/>
  <c r="F37" i="33"/>
  <c r="F55" i="33"/>
  <c r="T48" i="33" l="1"/>
  <c r="U47" i="33"/>
  <c r="S37" i="33"/>
  <c r="S9" i="33"/>
  <c r="H11" i="33"/>
  <c r="H41" i="33"/>
  <c r="J53" i="33"/>
  <c r="J54" i="33" s="1"/>
  <c r="I41" i="33"/>
  <c r="G80" i="33"/>
  <c r="G81" i="33"/>
  <c r="E82" i="33"/>
  <c r="F76" i="33"/>
  <c r="F77" i="33"/>
  <c r="F80" i="33"/>
  <c r="F81" i="33"/>
  <c r="G37" i="33"/>
  <c r="H47" i="33"/>
  <c r="U48" i="33" l="1"/>
  <c r="T37" i="33"/>
  <c r="T9" i="33"/>
  <c r="J41" i="33"/>
  <c r="J11" i="33"/>
  <c r="G82" i="33"/>
  <c r="F82" i="33"/>
  <c r="F78" i="33"/>
  <c r="H48" i="33"/>
  <c r="U37" i="33" l="1"/>
  <c r="U9" i="33"/>
  <c r="I47" i="33"/>
  <c r="H9" i="33"/>
  <c r="I48" i="33"/>
  <c r="H37" i="33"/>
  <c r="J47" i="33" l="1"/>
  <c r="I37" i="33"/>
  <c r="I9" i="33"/>
  <c r="H81" i="33"/>
  <c r="I81" i="33" s="1"/>
  <c r="H80" i="33"/>
  <c r="J48" i="33"/>
  <c r="F35" i="27"/>
  <c r="F31" i="27"/>
  <c r="F32" i="27"/>
  <c r="H32" i="27" s="1"/>
  <c r="R27" i="22"/>
  <c r="R28" i="22" s="1"/>
  <c r="R29" i="22" s="1"/>
  <c r="R30" i="22" s="1"/>
  <c r="H82" i="33" l="1"/>
  <c r="I80" i="33"/>
  <c r="I82" i="33" s="1"/>
  <c r="J37" i="33"/>
  <c r="J9" i="33"/>
  <c r="F36" i="27"/>
  <c r="H31" i="27"/>
  <c r="G36" i="27" l="1"/>
  <c r="G33" i="27"/>
  <c r="G34" i="27"/>
  <c r="G31" i="27"/>
  <c r="G32" i="27"/>
  <c r="G35" i="27"/>
  <c r="O25" i="21" l="1"/>
  <c r="O26" i="21"/>
  <c r="O27" i="21"/>
  <c r="O28" i="21"/>
  <c r="O29" i="21"/>
  <c r="G19" i="21"/>
  <c r="G22" i="21" s="1"/>
  <c r="G18" i="22" l="1"/>
  <c r="G25" i="22" s="1"/>
  <c r="H22" i="21"/>
  <c r="I22" i="21" s="1"/>
  <c r="R46" i="22"/>
  <c r="S43" i="22"/>
  <c r="S27" i="22"/>
  <c r="P30" i="22"/>
  <c r="S30" i="22" s="1"/>
  <c r="P29" i="22"/>
  <c r="S29" i="22" s="1"/>
  <c r="P28" i="22"/>
  <c r="S28" i="22" s="1"/>
  <c r="O22" i="22"/>
  <c r="O23" i="22"/>
  <c r="S23" i="22" s="1"/>
  <c r="O24" i="22"/>
  <c r="S24" i="22" s="1"/>
  <c r="O25" i="22"/>
  <c r="S25" i="22" s="1"/>
  <c r="O26" i="22"/>
  <c r="S26" i="22" s="1"/>
  <c r="S22" i="22" l="1"/>
  <c r="O31" i="22"/>
  <c r="S50" i="22"/>
  <c r="R50" i="22" s="1"/>
  <c r="F52" i="22" l="1"/>
  <c r="E52" i="22"/>
  <c r="C50" i="22"/>
  <c r="C49" i="22"/>
  <c r="C47" i="22"/>
  <c r="Q31" i="22"/>
  <c r="T21" i="22"/>
  <c r="F44" i="21"/>
  <c r="E44" i="21"/>
  <c r="C44" i="21"/>
  <c r="R36" i="21"/>
  <c r="P22" i="21"/>
  <c r="P23" i="21" s="1"/>
  <c r="P24" i="21" l="1"/>
  <c r="P25" i="21" s="1"/>
  <c r="P26" i="21" s="1"/>
  <c r="P27" i="21" s="1"/>
  <c r="P28" i="21" s="1"/>
  <c r="P29" i="21" s="1"/>
  <c r="T22" i="22"/>
  <c r="D44" i="21"/>
  <c r="G36" i="21"/>
  <c r="H36" i="21" s="1"/>
  <c r="C51" i="22"/>
  <c r="G30" i="21"/>
  <c r="H30" i="21" s="1"/>
  <c r="G35" i="21"/>
  <c r="H35" i="21" s="1"/>
  <c r="G46" i="22"/>
  <c r="H46" i="22" s="1"/>
  <c r="G22" i="22"/>
  <c r="H22" i="22" s="1"/>
  <c r="C48" i="22"/>
  <c r="C46" i="22"/>
  <c r="R49" i="22" l="1"/>
  <c r="K22" i="21"/>
  <c r="S49" i="22"/>
  <c r="G23" i="21"/>
  <c r="H23" i="21" s="1"/>
  <c r="I23" i="21" s="1"/>
  <c r="K23" i="21" s="1"/>
  <c r="G29" i="21"/>
  <c r="H29" i="21" s="1"/>
  <c r="G27" i="21"/>
  <c r="H27" i="21" s="1"/>
  <c r="G37" i="21"/>
  <c r="H37" i="21" s="1"/>
  <c r="G25" i="21"/>
  <c r="H25" i="21" s="1"/>
  <c r="G34" i="21"/>
  <c r="H34" i="21" s="1"/>
  <c r="G33" i="21"/>
  <c r="H33" i="21" s="1"/>
  <c r="G28" i="21"/>
  <c r="H28" i="21" s="1"/>
  <c r="G39" i="21"/>
  <c r="H39" i="21" s="1"/>
  <c r="G32" i="21"/>
  <c r="H32" i="21" s="1"/>
  <c r="T23" i="22"/>
  <c r="T24" i="22" s="1"/>
  <c r="G31" i="21"/>
  <c r="H31" i="21" s="1"/>
  <c r="G41" i="21"/>
  <c r="H41" i="21" s="1"/>
  <c r="G40" i="21"/>
  <c r="H40" i="21" s="1"/>
  <c r="G38" i="21"/>
  <c r="H38" i="21" s="1"/>
  <c r="G24" i="21"/>
  <c r="H24" i="21" s="1"/>
  <c r="G26" i="21"/>
  <c r="H26" i="21" s="1"/>
  <c r="G42" i="21"/>
  <c r="H42" i="21" s="1"/>
  <c r="G43" i="21"/>
  <c r="H43" i="21" s="1"/>
  <c r="H25" i="22"/>
  <c r="G27" i="22"/>
  <c r="H27" i="22" s="1"/>
  <c r="G47" i="22"/>
  <c r="H47" i="22" s="1"/>
  <c r="G37" i="22"/>
  <c r="H37" i="22" s="1"/>
  <c r="G36" i="22"/>
  <c r="H36" i="22" s="1"/>
  <c r="G34" i="22"/>
  <c r="H34" i="22" s="1"/>
  <c r="G49" i="22"/>
  <c r="H49" i="22" s="1"/>
  <c r="G44" i="22"/>
  <c r="H44" i="22" s="1"/>
  <c r="G41" i="22"/>
  <c r="H41" i="22" s="1"/>
  <c r="G38" i="22"/>
  <c r="H38" i="22" s="1"/>
  <c r="G35" i="22"/>
  <c r="H35" i="22" s="1"/>
  <c r="G32" i="22"/>
  <c r="H32" i="22" s="1"/>
  <c r="G28" i="22"/>
  <c r="H28" i="22" s="1"/>
  <c r="G51" i="22"/>
  <c r="H51" i="22" s="1"/>
  <c r="G29" i="22"/>
  <c r="H29" i="22" s="1"/>
  <c r="G23" i="22"/>
  <c r="H23" i="22" s="1"/>
  <c r="G43" i="22"/>
  <c r="H43" i="22" s="1"/>
  <c r="G40" i="22"/>
  <c r="H40" i="22" s="1"/>
  <c r="G24" i="22"/>
  <c r="H24" i="22" s="1"/>
  <c r="G30" i="22"/>
  <c r="H30" i="22" s="1"/>
  <c r="G21" i="22"/>
  <c r="H21" i="22" s="1"/>
  <c r="G45" i="22"/>
  <c r="H45" i="22" s="1"/>
  <c r="G33" i="22"/>
  <c r="H33" i="22" s="1"/>
  <c r="G42" i="22"/>
  <c r="H42" i="22" s="1"/>
  <c r="G39" i="22"/>
  <c r="H39" i="22" s="1"/>
  <c r="G31" i="22"/>
  <c r="H31" i="22" s="1"/>
  <c r="G26" i="22"/>
  <c r="H26" i="22" s="1"/>
  <c r="G48" i="22"/>
  <c r="H48" i="22" s="1"/>
  <c r="G50" i="22"/>
  <c r="H50" i="22" s="1"/>
  <c r="S51" i="22" l="1"/>
  <c r="I21" i="22"/>
  <c r="T49" i="22"/>
  <c r="S52" i="22"/>
  <c r="T52" i="22" s="1"/>
  <c r="T50" i="22"/>
  <c r="I24" i="21"/>
  <c r="G44" i="21"/>
  <c r="G52" i="22"/>
  <c r="I25" i="21" l="1"/>
  <c r="K24" i="21"/>
  <c r="I22" i="22"/>
  <c r="R51" i="22"/>
  <c r="R52" i="22" s="1"/>
  <c r="T51" i="22"/>
  <c r="T25" i="22"/>
  <c r="T26" i="22" s="1"/>
  <c r="I26" i="21" l="1"/>
  <c r="K25" i="21"/>
  <c r="I23" i="22"/>
  <c r="I27" i="21" l="1"/>
  <c r="K26" i="21"/>
  <c r="I24" i="22"/>
  <c r="T27" i="22"/>
  <c r="I28" i="21" l="1"/>
  <c r="K27" i="21"/>
  <c r="I25" i="22"/>
  <c r="T28" i="22"/>
  <c r="T29" i="22" s="1"/>
  <c r="T30" i="22" s="1"/>
  <c r="I29" i="21" l="1"/>
  <c r="K28" i="21"/>
  <c r="K22" i="22"/>
  <c r="K24" i="22"/>
  <c r="I26" i="22"/>
  <c r="K25" i="22"/>
  <c r="K23" i="22"/>
  <c r="K21" i="22"/>
  <c r="I30" i="21" l="1"/>
  <c r="K29" i="21"/>
  <c r="I27" i="22"/>
  <c r="K26" i="22"/>
  <c r="I31" i="21" l="1"/>
  <c r="K30" i="21"/>
  <c r="I28" i="22"/>
  <c r="K27" i="22"/>
  <c r="I32" i="21" l="1"/>
  <c r="K31" i="21"/>
  <c r="I29" i="22"/>
  <c r="K28" i="22"/>
  <c r="I33" i="21" l="1"/>
  <c r="K32" i="21"/>
  <c r="I30" i="22"/>
  <c r="K29" i="22"/>
  <c r="I34" i="21" l="1"/>
  <c r="K33" i="21"/>
  <c r="I31" i="22"/>
  <c r="K30" i="22"/>
  <c r="I35" i="21" l="1"/>
  <c r="K34" i="21"/>
  <c r="I32" i="22"/>
  <c r="K31" i="22"/>
  <c r="I36" i="21" l="1"/>
  <c r="K35" i="21"/>
  <c r="I33" i="22"/>
  <c r="K32" i="22"/>
  <c r="I37" i="21" l="1"/>
  <c r="K36" i="21"/>
  <c r="I34" i="22"/>
  <c r="K33" i="22"/>
  <c r="I38" i="21" l="1"/>
  <c r="K37" i="21"/>
  <c r="I35" i="22"/>
  <c r="K34" i="22"/>
  <c r="I39" i="21" l="1"/>
  <c r="K38" i="21"/>
  <c r="I36" i="22"/>
  <c r="K35" i="22"/>
  <c r="I40" i="21" l="1"/>
  <c r="K39" i="21"/>
  <c r="I37" i="22"/>
  <c r="K36" i="22"/>
  <c r="I41" i="21" l="1"/>
  <c r="K40" i="21"/>
  <c r="I38" i="22"/>
  <c r="K37" i="22"/>
  <c r="I42" i="21" l="1"/>
  <c r="K41" i="21"/>
  <c r="I39" i="22"/>
  <c r="K38" i="22"/>
  <c r="I43" i="21" l="1"/>
  <c r="K43" i="21" s="1"/>
  <c r="K42" i="21"/>
  <c r="I40" i="22"/>
  <c r="K39" i="22"/>
  <c r="I41" i="22" l="1"/>
  <c r="K40" i="22"/>
  <c r="I42" i="22" l="1"/>
  <c r="K41" i="22"/>
  <c r="I43" i="22" l="1"/>
  <c r="K42" i="22"/>
  <c r="I44" i="22" l="1"/>
  <c r="K43" i="22"/>
  <c r="I45" i="22" l="1"/>
  <c r="K44" i="22"/>
  <c r="I46" i="22" l="1"/>
  <c r="K45" i="22"/>
  <c r="I47" i="22" l="1"/>
  <c r="K46" i="22"/>
  <c r="I48" i="22" l="1"/>
  <c r="K47" i="22"/>
  <c r="I49" i="22" l="1"/>
  <c r="K48" i="22"/>
  <c r="I50" i="22" l="1"/>
  <c r="K49" i="22"/>
  <c r="I51" i="22" l="1"/>
  <c r="K51" i="22" s="1"/>
  <c r="K50" i="22"/>
  <c r="F127" i="27" l="1"/>
  <c r="J127" i="27" l="1"/>
  <c r="F128" i="27"/>
  <c r="G129" i="27" s="1"/>
  <c r="J128" i="27" l="1"/>
  <c r="K127" i="27"/>
  <c r="E54" i="47"/>
  <c r="N54" i="47" s="1"/>
  <c r="E57" i="47" l="1"/>
  <c r="E28" i="30"/>
  <c r="F38" i="33"/>
  <c r="F19" i="33" s="1"/>
  <c r="E56" i="47"/>
  <c r="E26" i="47" s="1"/>
  <c r="K128" i="27"/>
  <c r="M27" i="30"/>
  <c r="E29" i="30"/>
  <c r="M58" i="30" s="1"/>
  <c r="C28" i="30"/>
  <c r="Q38" i="33"/>
  <c r="F39" i="33"/>
  <c r="F42" i="33" s="1"/>
  <c r="F59" i="33"/>
  <c r="F60" i="33" s="1"/>
  <c r="G50" i="33"/>
  <c r="G59" i="33" s="1"/>
  <c r="G60" i="33" s="1"/>
  <c r="E27" i="47"/>
  <c r="N57" i="47"/>
  <c r="N56" i="47" l="1"/>
  <c r="G58" i="33"/>
  <c r="M59" i="30"/>
  <c r="H50" i="33"/>
  <c r="R56" i="30"/>
  <c r="M28" i="30"/>
  <c r="K27" i="30"/>
  <c r="K28" i="30" s="1"/>
  <c r="G51" i="33"/>
  <c r="G10" i="33" s="1"/>
  <c r="Q19" i="33"/>
  <c r="Q21" i="33" s="1"/>
  <c r="R50" i="33"/>
  <c r="Q39" i="33"/>
  <c r="Q42" i="33" s="1"/>
  <c r="Q59" i="33"/>
  <c r="H63" i="33"/>
  <c r="H64" i="33" s="1"/>
  <c r="H8" i="33" s="1"/>
  <c r="H17" i="46"/>
  <c r="I17" i="46" s="1"/>
  <c r="F21" i="33"/>
  <c r="G63" i="33"/>
  <c r="G64" i="33" s="1"/>
  <c r="E30" i="47"/>
  <c r="E36" i="47" s="1"/>
  <c r="E29" i="47"/>
  <c r="D42" i="47" s="1"/>
  <c r="H51" i="33"/>
  <c r="H59" i="33"/>
  <c r="H58" i="33"/>
  <c r="G55" i="33" l="1"/>
  <c r="G39" i="33"/>
  <c r="G42" i="33" s="1"/>
  <c r="R57" i="30"/>
  <c r="U56" i="30"/>
  <c r="G17" i="33"/>
  <c r="G21" i="33" s="1"/>
  <c r="H16" i="46"/>
  <c r="I16" i="46" s="1"/>
  <c r="R63" i="33"/>
  <c r="R64" i="33" s="1"/>
  <c r="Q60" i="33"/>
  <c r="S50" i="33"/>
  <c r="R51" i="33"/>
  <c r="R58" i="33"/>
  <c r="R59" i="33"/>
  <c r="I63" i="33"/>
  <c r="I64" i="33" s="1"/>
  <c r="I8" i="33" s="1"/>
  <c r="H60" i="33"/>
  <c r="I50" i="33"/>
  <c r="I58" i="33" s="1"/>
  <c r="H10" i="33"/>
  <c r="H12" i="33" s="1"/>
  <c r="H76" i="33"/>
  <c r="H77" i="33"/>
  <c r="G8" i="33"/>
  <c r="G12" i="33" s="1"/>
  <c r="E35" i="47"/>
  <c r="D63" i="47"/>
  <c r="D65" i="47" s="1"/>
  <c r="G84" i="33"/>
  <c r="G85" i="33"/>
  <c r="H39" i="33"/>
  <c r="H42" i="33" s="1"/>
  <c r="H55" i="33"/>
  <c r="G77" i="33" l="1"/>
  <c r="R60" i="33"/>
  <c r="S63" i="33"/>
  <c r="S64" i="33" s="1"/>
  <c r="S8" i="33" s="1"/>
  <c r="I59" i="33"/>
  <c r="J63" i="33" s="1"/>
  <c r="J64" i="33" s="1"/>
  <c r="J8" i="33" s="1"/>
  <c r="R10" i="33"/>
  <c r="R39" i="33"/>
  <c r="R42" i="33" s="1"/>
  <c r="R55" i="33"/>
  <c r="S51" i="33"/>
  <c r="T50" i="33" s="1"/>
  <c r="S58" i="33"/>
  <c r="S59" i="33"/>
  <c r="R17" i="33"/>
  <c r="R8" i="33"/>
  <c r="R12" i="33" s="1"/>
  <c r="I51" i="33"/>
  <c r="I39" i="33" s="1"/>
  <c r="I42" i="33" s="1"/>
  <c r="G76" i="33"/>
  <c r="H84" i="33"/>
  <c r="I84" i="33" s="1"/>
  <c r="H85" i="33"/>
  <c r="I85" i="33"/>
  <c r="H78" i="33"/>
  <c r="G78" i="33"/>
  <c r="G86" i="33"/>
  <c r="I60" i="33" l="1"/>
  <c r="I55" i="33"/>
  <c r="S60" i="33"/>
  <c r="T63" i="33"/>
  <c r="T64" i="33" s="1"/>
  <c r="T8" i="33" s="1"/>
  <c r="J16" i="46"/>
  <c r="R21" i="33"/>
  <c r="T51" i="33"/>
  <c r="T58" i="33"/>
  <c r="T59" i="33"/>
  <c r="S10" i="33"/>
  <c r="S12" i="33" s="1"/>
  <c r="S39" i="33"/>
  <c r="S42" i="33" s="1"/>
  <c r="S55" i="33"/>
  <c r="I10" i="33"/>
  <c r="I12" i="33" s="1"/>
  <c r="J50" i="33"/>
  <c r="I86" i="33"/>
  <c r="H86" i="33"/>
  <c r="I17" i="47"/>
  <c r="I20" i="47" s="1"/>
  <c r="I23" i="47" s="1"/>
  <c r="I30" i="47" s="1"/>
  <c r="N34" i="23"/>
  <c r="I16" i="47"/>
  <c r="I19" i="47" s="1"/>
  <c r="I22" i="47" s="1"/>
  <c r="I29" i="47" l="1"/>
  <c r="S54" i="30"/>
  <c r="R58" i="30" s="1"/>
  <c r="I35" i="47"/>
  <c r="G42" i="47"/>
  <c r="T60" i="33"/>
  <c r="U63" i="33"/>
  <c r="U64" i="33" s="1"/>
  <c r="U8" i="33" s="1"/>
  <c r="U50" i="33"/>
  <c r="T10" i="33"/>
  <c r="T39" i="33"/>
  <c r="T42" i="33" s="1"/>
  <c r="T55" i="33"/>
  <c r="T12" i="33"/>
  <c r="J58" i="33"/>
  <c r="J59" i="33"/>
  <c r="J60" i="33" s="1"/>
  <c r="J51" i="33"/>
  <c r="F17" i="47"/>
  <c r="F20" i="47" s="1"/>
  <c r="F23" i="47" s="1"/>
  <c r="F30" i="47" s="1"/>
  <c r="F36" i="47" s="1"/>
  <c r="S57" i="30" l="1"/>
  <c r="S58" i="30" s="1"/>
  <c r="X58" i="30"/>
  <c r="U54" i="30"/>
  <c r="U51" i="33"/>
  <c r="U58" i="33"/>
  <c r="U59" i="33"/>
  <c r="U60" i="33" s="1"/>
  <c r="J10" i="33"/>
  <c r="J12" i="33" s="1"/>
  <c r="J55" i="33"/>
  <c r="J39" i="33"/>
  <c r="J42" i="33" s="1"/>
  <c r="T63" i="30" l="1"/>
  <c r="S63" i="30"/>
  <c r="Q63" i="30"/>
  <c r="R63" i="30"/>
  <c r="Y58" i="30"/>
  <c r="X68" i="30"/>
  <c r="Y68" i="30" s="1"/>
  <c r="U57" i="30"/>
  <c r="Y64" i="30"/>
  <c r="U10" i="33"/>
  <c r="U12" i="33" s="1"/>
  <c r="U39" i="33"/>
  <c r="U42" i="33" s="1"/>
  <c r="U55" i="33"/>
  <c r="Y69" i="30" l="1"/>
</calcChain>
</file>

<file path=xl/sharedStrings.xml><?xml version="1.0" encoding="utf-8"?>
<sst xmlns="http://schemas.openxmlformats.org/spreadsheetml/2006/main" count="3690" uniqueCount="1148">
  <si>
    <t>Unreserved</t>
  </si>
  <si>
    <t>Rural</t>
  </si>
  <si>
    <t>High Unemployment</t>
  </si>
  <si>
    <t>Total</t>
  </si>
  <si>
    <t>China</t>
  </si>
  <si>
    <t>India</t>
  </si>
  <si>
    <t>ROW</t>
  </si>
  <si>
    <t>CHINA</t>
  </si>
  <si>
    <t>INDIA</t>
  </si>
  <si>
    <t>Priority Date</t>
  </si>
  <si>
    <t>ROW Rural</t>
  </si>
  <si>
    <t>Average pre-RIA I-526 approval rate in 2024</t>
  </si>
  <si>
    <t>Average % of visas issued through consulates (2018-2023)</t>
  </si>
  <si>
    <t>A</t>
  </si>
  <si>
    <t>B</t>
  </si>
  <si>
    <t>C</t>
  </si>
  <si>
    <t>D</t>
  </si>
  <si>
    <t>E</t>
  </si>
  <si>
    <t>blog.lucidtext.com</t>
  </si>
  <si>
    <t>ROW Visas Issued</t>
  </si>
  <si>
    <t>FY2015</t>
  </si>
  <si>
    <t>FY2016</t>
  </si>
  <si>
    <t>FY2017</t>
  </si>
  <si>
    <t>FY2018</t>
  </si>
  <si>
    <t>FY2019</t>
  </si>
  <si>
    <t>FY2020</t>
  </si>
  <si>
    <t>FY2021</t>
  </si>
  <si>
    <t>FY2022</t>
  </si>
  <si>
    <t>FY2023</t>
  </si>
  <si>
    <t>Total EB-5 visas issued</t>
  </si>
  <si>
    <t>ROW applicants on NVC Wait List at FY start</t>
  </si>
  <si>
    <t>Difference between qualified applicants and visas issued</t>
  </si>
  <si>
    <t>ROW visas % Total visas</t>
  </si>
  <si>
    <t>Updated as of:</t>
  </si>
  <si>
    <t>Table of Contents</t>
  </si>
  <si>
    <t>Note:</t>
  </si>
  <si>
    <t xml:space="preserve"> </t>
  </si>
  <si>
    <t>Visa Bulletin</t>
  </si>
  <si>
    <t>Chart A</t>
  </si>
  <si>
    <t>Chart B</t>
  </si>
  <si>
    <t>data as of date</t>
  </si>
  <si>
    <t>I-526 Pending as of 7/2024 (actual)</t>
  </si>
  <si>
    <t>Estimated Cumulative Visa Applicants</t>
  </si>
  <si>
    <t>Date of visa issuance</t>
  </si>
  <si>
    <t>Total Unreserved visas (est.)</t>
  </si>
  <si>
    <t>Estimated Cumulative Total to India</t>
  </si>
  <si>
    <t>Pre-FY2017</t>
  </si>
  <si>
    <t>current</t>
  </si>
  <si>
    <t xml:space="preserve">2024 June-Sept </t>
  </si>
  <si>
    <t>FY2024</t>
  </si>
  <si>
    <t>2017 Q2. Jan - Mar 2017</t>
  </si>
  <si>
    <t>FY2025</t>
  </si>
  <si>
    <t>2017 Q3. April - June 2017</t>
  </si>
  <si>
    <t>FY2026</t>
  </si>
  <si>
    <t>2017 Q4 Jul - Sep 2017</t>
  </si>
  <si>
    <t>FY2027</t>
  </si>
  <si>
    <t>2018 Q1 Oct - Dec 2017</t>
  </si>
  <si>
    <t>FY2028</t>
  </si>
  <si>
    <t>2018 Q2. Jan - Mar 2018</t>
  </si>
  <si>
    <t>FY2029</t>
  </si>
  <si>
    <t>2018 Q3. April - June 2018</t>
  </si>
  <si>
    <t>FY2030</t>
  </si>
  <si>
    <t>2018 Q4 Jul - Sep 2018</t>
  </si>
  <si>
    <t>FY2031</t>
  </si>
  <si>
    <t>2019  Q1  Oct - Dec 2018</t>
  </si>
  <si>
    <t>2019 Q2. Jan - Mar 2019</t>
  </si>
  <si>
    <t>2019 Q3. April - June 2019</t>
  </si>
  <si>
    <t>2019 Q4 Jul - Sep 2019</t>
  </si>
  <si>
    <t>2020  Q1  Oct - Dec 2019</t>
  </si>
  <si>
    <t>2020 Q2 Jan - Mar 2020</t>
  </si>
  <si>
    <t>2020 Q3 Apr - Jun 2020</t>
  </si>
  <si>
    <t>2020 Q4 Jul - Sep 2020</t>
  </si>
  <si>
    <t>2021 Q1 Oct - Dec 2020</t>
  </si>
  <si>
    <t>2021 Q2 Jan - Mar 2021</t>
  </si>
  <si>
    <t>2021 Q3 Apr - Jun 2021</t>
  </si>
  <si>
    <t>2021 Q4 Jul - Sep 2021</t>
  </si>
  <si>
    <t>2022 Q1 Oct - Dec 2021</t>
  </si>
  <si>
    <t>2022 Q2 Jan - Mar 2022</t>
  </si>
  <si>
    <t>2025/2026</t>
  </si>
  <si>
    <t>Cumulative Total to China</t>
  </si>
  <si>
    <t>Pre-2015</t>
  </si>
  <si>
    <t>2015 Q1. Oct - Dec 2014</t>
  </si>
  <si>
    <t>2015 Q2. Jan - Mar 2015</t>
  </si>
  <si>
    <t>2015 Q3 Apr - Jun 2015</t>
  </si>
  <si>
    <t>2015 Q4 Jul - Sep 2015</t>
  </si>
  <si>
    <t>2016 Q1 Oct - Dec 2015</t>
  </si>
  <si>
    <t>2016 Q2 Jan - Mar 2016</t>
  </si>
  <si>
    <t>2016 Q3 April - June 2016</t>
  </si>
  <si>
    <t>2016 Q4 Jul - Sep 2016</t>
  </si>
  <si>
    <t>FY2032</t>
  </si>
  <si>
    <t>2017 Q1 Oct - Dec 2016</t>
  </si>
  <si>
    <t>FY2033</t>
  </si>
  <si>
    <t>Visa availability per Oct 24 Visa Bulletin</t>
  </si>
  <si>
    <t>History reference for number of EB-5 visas issued to Rest of World Countries</t>
  </si>
  <si>
    <t>Average pre-RIA I-526 approval rate in 2024 for China</t>
  </si>
  <si>
    <t>Background</t>
  </si>
  <si>
    <t>Date of visa availability per supply-demand ESTIMATE</t>
  </si>
  <si>
    <t>D=A+B+C</t>
  </si>
  <si>
    <t>EB-5 Visas Issued to China</t>
  </si>
  <si>
    <t>Year visa issued</t>
  </si>
  <si>
    <t>MATCH DEMAND to SUPPLY</t>
  </si>
  <si>
    <t>Average % of visas to investors 2021-2023</t>
  </si>
  <si>
    <t>…who have visas by Oct 2024</t>
  </si>
  <si>
    <t>Investors Only</t>
  </si>
  <si>
    <t>Investors + family</t>
  </si>
  <si>
    <t>…who are still waiting for visas in Oct 2024</t>
  </si>
  <si>
    <t>…who withdrew/were denied by Oct 2024</t>
  </si>
  <si>
    <t>Estimated Chinese with priority dates from Oct 2014…</t>
  </si>
  <si>
    <t>Visa Timing ESTIMATE -- CHINA Unreserved</t>
  </si>
  <si>
    <t>Visa Timing ESTIMATE -- INDIA Unreserved</t>
  </si>
  <si>
    <t>Visas issued to date to China-born applicants with priority dates since Oct 2014*</t>
  </si>
  <si>
    <t>…who started the process by filing I-526</t>
  </si>
  <si>
    <t>Estimated total Pre-RIA EB-5 Unreserved pipeline backlog</t>
  </si>
  <si>
    <t>=D6</t>
  </si>
  <si>
    <t>=E6</t>
  </si>
  <si>
    <t>Actual</t>
  </si>
  <si>
    <t>Estimate</t>
  </si>
  <si>
    <t>Estimated Total Visa Applicants as of June 2024</t>
  </si>
  <si>
    <t>F=A-B-C-D-E</t>
  </si>
  <si>
    <t>I-526 Filed (actual until 10/2020, estimate for 2021-2022)</t>
  </si>
  <si>
    <t>I-526 Filed (actual)</t>
  </si>
  <si>
    <t>I-485 Pending  as of 6/2024 (actual)</t>
  </si>
  <si>
    <r>
      <t xml:space="preserve">Post-RIA ROW  </t>
    </r>
    <r>
      <rPr>
        <b/>
        <sz val="8"/>
        <color rgb="FFFF0000"/>
        <rFont val="Aptos Narrow"/>
        <family val="2"/>
        <scheme val="minor"/>
      </rPr>
      <t>(GUESS)</t>
    </r>
    <r>
      <rPr>
        <b/>
        <sz val="8"/>
        <color theme="1"/>
        <rFont val="Aptos Narrow"/>
        <family val="2"/>
        <scheme val="minor"/>
      </rPr>
      <t>*</t>
    </r>
  </si>
  <si>
    <t>Document link:</t>
  </si>
  <si>
    <t>Contact:</t>
  </si>
  <si>
    <t>https://www.dropbox.com/scl/fi/xkbkaox1hgepg6nn6v3l9/EB5-Backlog-Analysis.xlsx?rlkey=iwnaj84r7apd0matmr0vagkq2&amp;dl=0</t>
  </si>
  <si>
    <t>.</t>
  </si>
  <si>
    <t>Applicants registered at NVC as of 5/2024 (quarterly estimate from actual annual)</t>
  </si>
  <si>
    <t>Average visas per investor applicant in 2021-2023 (worldwide, AOS+consular)</t>
  </si>
  <si>
    <t>*Guess assumes that post-RIA ROW applicants will increasingly choose to be assigned Unreserved visas</t>
  </si>
  <si>
    <t xml:space="preserve">and that 2024 ROW demand was/will be typical </t>
  </si>
  <si>
    <t>VISA SUPPLY ESTIMATE from June 2024</t>
  </si>
  <si>
    <t>Unreserved VISA SUPPLY ESTIMATE from June 2024</t>
  </si>
  <si>
    <r>
      <t xml:space="preserve">Estimate of future </t>
    </r>
    <r>
      <rPr>
        <b/>
        <u/>
        <sz val="8"/>
        <rFont val="Aptos Narrow"/>
        <scheme val="minor"/>
      </rPr>
      <t>consular</t>
    </r>
    <r>
      <rPr>
        <b/>
        <sz val="8"/>
        <rFont val="Aptos Narrow"/>
        <scheme val="minor"/>
      </rPr>
      <t xml:space="preserve"> visa applicants from pending I-526 as of 7/2024</t>
    </r>
  </si>
  <si>
    <t>*Assumes India limited to 7% of visas for this period -- considering that the earlier China backlog has priority for any extra Unreserved visas, and is not predicted to clear until after 2031</t>
  </si>
  <si>
    <t>Visas issued to India (estimated total)*</t>
  </si>
  <si>
    <t>Visas issued to Pre-RIA India up to cap</t>
  </si>
  <si>
    <t>Visas issued to Post-RIA India up to cap</t>
  </si>
  <si>
    <t>Estimated total visas issued to Pre-RIA China</t>
  </si>
  <si>
    <t xml:space="preserve">Estimated visas issued to Pre-RIA ROW </t>
  </si>
  <si>
    <t xml:space="preserve">*The Visa Bulletin first moved the China final action date past Oct 1, 2014 at the end of FY2019 (August 2019). </t>
  </si>
  <si>
    <t xml:space="preserve">Therefore, China EB-5 visas issued since FY2020 may have gone to FY2014 and later priority dates. </t>
  </si>
  <si>
    <t>Estimated Status of Chinese investors with October 2014+ priority dates, as of October 2024</t>
  </si>
  <si>
    <t>Notes of major updates or revisions to the model</t>
  </si>
  <si>
    <t>Date</t>
  </si>
  <si>
    <t>Change</t>
  </si>
  <si>
    <t>Notes</t>
  </si>
  <si>
    <t>Log of major updates and revisions to the model.</t>
  </si>
  <si>
    <t>Supporting Article Link:</t>
  </si>
  <si>
    <t>Based on the April 2025 Visa Bulletin, revised the estimated allocation of FY2025 visas down for China and up for ROW</t>
  </si>
  <si>
    <t>Monthly visa issuance through consular processing</t>
  </si>
  <si>
    <t>https://travel.state.gov/content/travel/en/legal/visa-law0/visa-statistics/immigrant-visa-statistics/monthly-immigrant-visa-issuances.html</t>
  </si>
  <si>
    <t>Symbol</t>
  </si>
  <si>
    <t>I5, R5, C5, T5</t>
  </si>
  <si>
    <t>RU, NU</t>
  </si>
  <si>
    <t>RR, NR</t>
  </si>
  <si>
    <t>RH, NH</t>
  </si>
  <si>
    <t>RI</t>
  </si>
  <si>
    <t>Total Consular visas issued</t>
  </si>
  <si>
    <t>Unreserved and Unknown</t>
  </si>
  <si>
    <t>Total All Categories</t>
  </si>
  <si>
    <t>Approvals</t>
  </si>
  <si>
    <t>Denials</t>
  </si>
  <si>
    <t>Total Adjudicated</t>
  </si>
  <si>
    <t>Completely revised the model based on monthly I-526/I-526E demand data through January 2025 (replacing estimates based on data as of July 2024)</t>
  </si>
  <si>
    <t>https://goaiia.org/aiia-foia-series-updated-i-526e-inventory-statistics-for-january-2025/</t>
  </si>
  <si>
    <t>Progress</t>
  </si>
  <si>
    <t>I-526/I-526E completions 2022 to Jan 31, 2025</t>
  </si>
  <si>
    <t>All Countries</t>
  </si>
  <si>
    <t>Unreserved (Post-RIA)</t>
  </si>
  <si>
    <t>Unreserved (Pre-RIA)</t>
  </si>
  <si>
    <t>Revised the HU and Rural tab presentations, and hid the Pre-RIA detail tabs pending new data</t>
  </si>
  <si>
    <t>Infrastructure</t>
  </si>
  <si>
    <t>?</t>
  </si>
  <si>
    <t>Fixed the match parameter in the Xlookup formula on the HU and Rural tabs</t>
  </si>
  <si>
    <t>References</t>
  </si>
  <si>
    <t>Last updated:</t>
  </si>
  <si>
    <t>https://www.canamenterprises.com/about-eb-5/faq/</t>
  </si>
  <si>
    <t>Summary: Estimated Total EB-5 Visas</t>
  </si>
  <si>
    <t>https://travel.state.gov/content/travel/en/legal/visa-law0/visa-statistics/immigrant-visa-statistics.html</t>
  </si>
  <si>
    <t>EB-5 visas available in theory</t>
  </si>
  <si>
    <t>https://blog.lucidtext.com/ina-203b/#b-designations-and-reserved-visas</t>
  </si>
  <si>
    <t>TOTAL Visas Available</t>
  </si>
  <si>
    <t>TOTAL Visas Issued</t>
  </si>
  <si>
    <t>Derivation of visa number estimates, including carryover</t>
  </si>
  <si>
    <t>Cells with input guesses -- ACTUAL VALUES COULD VARY</t>
  </si>
  <si>
    <t>New issue visas available</t>
  </si>
  <si>
    <t>Annual Limits (newly available pool)</t>
  </si>
  <si>
    <t>Worldwide Employment Limit</t>
  </si>
  <si>
    <t>EB-5 Newly-Available Pool (7.1%)</t>
  </si>
  <si>
    <t>Unreserved (68%)</t>
  </si>
  <si>
    <t>Rural (20%)</t>
  </si>
  <si>
    <t>High Unemployment (10%)</t>
  </si>
  <si>
    <t>Infrastructure (2%)</t>
  </si>
  <si>
    <t>Assumptions affecting carryover</t>
  </si>
  <si>
    <t>Enter Usage Guesses</t>
  </si>
  <si>
    <t>Rural visas issued</t>
  </si>
  <si>
    <t>issued ≤ availability?</t>
  </si>
  <si>
    <t>HU visas issued</t>
  </si>
  <si>
    <t>Infrastructure visas issued</t>
  </si>
  <si>
    <t>Total reserved visas issued</t>
  </si>
  <si>
    <t>Calculate total EB-5 visas available with carryover</t>
  </si>
  <si>
    <t>Reserved + Carryover</t>
  </si>
  <si>
    <t>Rural (20% new EB-5 pool)</t>
  </si>
  <si>
    <t>Carryover unused new from previous FY</t>
  </si>
  <si>
    <t>Rural Total Available</t>
  </si>
  <si>
    <t>High Unemployment (10% new EB-5 pool)</t>
  </si>
  <si>
    <t>HU Total Available</t>
  </si>
  <si>
    <t>Infrastructure (2% new EB-5 pool)</t>
  </si>
  <si>
    <t>Infrastructure Total Available</t>
  </si>
  <si>
    <t>Reserved Total With Carryover</t>
  </si>
  <si>
    <t>Reserved Total New Issue</t>
  </si>
  <si>
    <t>Total Reserve Carryover Available</t>
  </si>
  <si>
    <t>Unused Reserved Carryover</t>
  </si>
  <si>
    <t>Unreserved + Carryover</t>
  </si>
  <si>
    <t>Unreserved (68% new EB-5 pool)</t>
  </si>
  <si>
    <t>Carryover from Unused Reserved Carryover</t>
  </si>
  <si>
    <t>Unreserved Total Available</t>
  </si>
  <si>
    <t>Total EB-5 Visas Actually Issued</t>
  </si>
  <si>
    <t>Unreserved by Country</t>
  </si>
  <si>
    <t>Available to India and China (each)</t>
  </si>
  <si>
    <t>Available to ROW, then China extra</t>
  </si>
  <si>
    <t>Rural Set Aside by Country</t>
  </si>
  <si>
    <t>Available to ROW, then China and India extra</t>
  </si>
  <si>
    <t>HU Set Aside by Country</t>
  </si>
  <si>
    <t>Reserved Carryover</t>
  </si>
  <si>
    <t>Unreserved Carryover</t>
  </si>
  <si>
    <t>Unreserved Total</t>
  </si>
  <si>
    <t>Reserved Total</t>
  </si>
  <si>
    <t>All EB-5 Visas Available</t>
  </si>
  <si>
    <t>FY22-FY23 Visas Issued</t>
  </si>
  <si>
    <t>FY2025 Visas Issued to Date (est.)</t>
  </si>
  <si>
    <t>Added all-time visa issuance data to the Progress tab, and added Visa Supply tab</t>
  </si>
  <si>
    <t>2022 Q3 Apr - Jun 2022</t>
  </si>
  <si>
    <t>2022 Q4 Jul - Sep 2022</t>
  </si>
  <si>
    <t>2023 Q1 Oct - Dec 2022</t>
  </si>
  <si>
    <t>2023 Q2 Jan - Mar 2023</t>
  </si>
  <si>
    <t>2023 Q3 Apr - Jun 2023</t>
  </si>
  <si>
    <t>2023 Q4 Jul - Sep 2023</t>
  </si>
  <si>
    <t>2024 Q1 Oct - Dec 2023</t>
  </si>
  <si>
    <t>2024 Q2 Jan - Mar 2024</t>
  </si>
  <si>
    <t>2024 Q3 Apr - Jun 2024</t>
  </si>
  <si>
    <t>2024 Q4 Jul - Sep 2024</t>
  </si>
  <si>
    <t xml:space="preserve">http://www.uscis.gov/tools/reports-studies/immigration-forms-data </t>
  </si>
  <si>
    <t>Total Post-RIA I-526/I-526E Processed</t>
  </si>
  <si>
    <t xml:space="preserve"> D </t>
  </si>
  <si>
    <t>High Unemployment visas issued</t>
  </si>
  <si>
    <t xml:space="preserve">Data Source: http://www.uscis.gov/tools/reports-studies/immigration-forms-data </t>
  </si>
  <si>
    <t>2025 Q2 Jan - Mar 2025</t>
  </si>
  <si>
    <t>2025 Q1 Oct - Dec 2024</t>
  </si>
  <si>
    <t>Post-RIA Petition Filings and Adjudications</t>
  </si>
  <si>
    <t>Added FY2025 Q2 data to the Progress tab, and changed the HU tab scenario to help model apparently rising demand since January 2025</t>
  </si>
  <si>
    <t>Period-End Post-RIA I-526/I-526E Pending</t>
  </si>
  <si>
    <t>Consular (Oct-May)</t>
  </si>
  <si>
    <t>Data Source: https://travel.state.gov/content/travel/en/legal/visa-law0/visa-statistics/immigrant-visa-statistics/monthly-immigrant-visa-issuances.html</t>
  </si>
  <si>
    <t>FY2024 Visas Issued</t>
  </si>
  <si>
    <t>FY2025 est</t>
  </si>
  <si>
    <t>Based on the August 2025 Visa Bulletin, revised the estimated allocation of FY2025 visas up for China and down for ROW</t>
  </si>
  <si>
    <t>Estimated actual EB-5 visas issued (considering demand/processing constraints and carryover)</t>
  </si>
  <si>
    <t>Revised the Unreserved tab and Visa Supply tab based on reports of actual visa issuance in FY2024 and January to May 2025</t>
  </si>
  <si>
    <t>Estimate of future visa applicants from pending I-526 as of 7/2024</t>
  </si>
  <si>
    <t>Unreserved India VISA DEMAND ESTIMATE as of June 2024</t>
  </si>
  <si>
    <t>Unreserved China VISA DEMAND ESTIMATE as of June 2024</t>
  </si>
  <si>
    <t>Sources</t>
  </si>
  <si>
    <t>NVC applicants</t>
  </si>
  <si>
    <t>I-485 pending</t>
  </si>
  <si>
    <t>I-526 pending</t>
  </si>
  <si>
    <t>I-526 receipts</t>
  </si>
  <si>
    <t>https://iiusa.org/wp-content/uploads/2024/06/Insights-from-DOS-Recap-of-2024-IIUSA-EB-5-Forum-1.pdf</t>
  </si>
  <si>
    <t>https://goaiia.org/aiia-foia-series-pre-ria-i-526-data-as-of-july-2024/</t>
  </si>
  <si>
    <t>https://www.uscis.gov/sites/default/files/document/reports/eb_inventory_june_2024_081324.xlsx</t>
  </si>
  <si>
    <t xml:space="preserve">Multiple sources. See the Pre-RIA tab in my Key EB-5 Backlog data file https://www.dropbox.com/s/ua9g9iigru2z6u1/Key%20EB5%20Backlog%20Data.xlsx?dl=0 </t>
  </si>
  <si>
    <t>Rest of World</t>
  </si>
  <si>
    <t>as of May 3, 2024</t>
  </si>
  <si>
    <t>Summary</t>
  </si>
  <si>
    <t>Priority date</t>
  </si>
  <si>
    <t>Grand Total</t>
  </si>
  <si>
    <t>https://www.uscis.gov/sites/default/files/document/reports/eb_inventory_may_2024_081324.xlsx</t>
  </si>
  <si>
    <t>https://iiusa.org/blog/iiusa-new-data-analysis-on-the-latest-i-526e-and-i-526-filings-adjudications-and-withdrawals-country-specific-trends-in-eb-5-demand-investment-preferences-case-processing-and-reserved-visa-wait/</t>
  </si>
  <si>
    <t>https://iiusa.org/wp-content/uploads/2024/05/3_EB-5-IIUSA-Conference-May-2024.pdf</t>
  </si>
  <si>
    <t>Consular</t>
  </si>
  <si>
    <t>Status Adjustment</t>
  </si>
  <si>
    <t>2025 Q3 Apr - Jun 2025</t>
  </si>
  <si>
    <t>Form I-526, Immigrant Petition by Standalone Investor and Form I-526E, Immigrant Petition by Regional Center Investor (Fiscal Year 2022 - Fiscal Year 2024) (XLSX, 51.42 KB)</t>
  </si>
  <si>
    <t>Form I-526, Immigrant Petition by Standalone Investor and Form I-526E, Immigrant Petition by Regional Center Investor (Fiscal Year 2025, Quarter 3) (XLSX, 30.48 KB)</t>
  </si>
  <si>
    <t>Infrastructure I-485 pending as of 5/3/2025</t>
  </si>
  <si>
    <t>https://www.canamenterprises.com/2025/08/13/white-paper-2025-visa-backlog/</t>
  </si>
  <si>
    <t>Department of Homeland Security, U.S. Citizenship and Immigration Services, Office of Performance and Quality, CLAIMS 3, ELIS, queried May 2025 and updated May 20, 2025.</t>
  </si>
  <si>
    <t>Source:</t>
  </si>
  <si>
    <t>[Redacts a number &lt;11]</t>
  </si>
  <si>
    <t>D Disclosure standards not met.</t>
  </si>
  <si>
    <t>-</t>
  </si>
  <si>
    <t>October</t>
  </si>
  <si>
    <t>Available</t>
  </si>
  <si>
    <t>Employment-Based 5th Preference Category Set Aside: Infrastructure (2%) (EB5)</t>
  </si>
  <si>
    <t>Rest of the World</t>
  </si>
  <si>
    <t>July</t>
  </si>
  <si>
    <t>June</t>
  </si>
  <si>
    <t>April</t>
  </si>
  <si>
    <t>March</t>
  </si>
  <si>
    <t>February</t>
  </si>
  <si>
    <t>January</t>
  </si>
  <si>
    <t>November</t>
  </si>
  <si>
    <t>Mexico</t>
  </si>
  <si>
    <t>September</t>
  </si>
  <si>
    <t>December</t>
  </si>
  <si>
    <t>May</t>
  </si>
  <si>
    <t>Priority Date Year - 2025</t>
  </si>
  <si>
    <t>Priority Date Year - 2024</t>
  </si>
  <si>
    <t>Priority Date Year - 2023</t>
  </si>
  <si>
    <t>Priority Date Year - 2022</t>
  </si>
  <si>
    <t>Priority Date Month</t>
  </si>
  <si>
    <t>Visa Status</t>
  </si>
  <si>
    <t>Preference Category</t>
  </si>
  <si>
    <t>Country Of Chargeability</t>
  </si>
  <si>
    <t>As of May 5, 2025</t>
  </si>
  <si>
    <t xml:space="preserve">Pending Application for Employment-Based Preference Categories </t>
  </si>
  <si>
    <t>Form I-485, Application to Register Permanent Residence or Adjust Status</t>
  </si>
  <si>
    <t>Base annual infrastructure visa supply</t>
  </si>
  <si>
    <t>https://www.uscis.gov/sites/default/files/document/data/eb_inventory_may_2025.xlsx</t>
  </si>
  <si>
    <r>
      <t>as of</t>
    </r>
    <r>
      <rPr>
        <u/>
        <sz val="9"/>
        <color theme="1"/>
        <rFont val="Aptos Narrow"/>
        <scheme val="minor"/>
      </rPr>
      <t xml:space="preserve"> June 2025</t>
    </r>
  </si>
  <si>
    <t>Data for EB-5 Derivatives</t>
  </si>
  <si>
    <t>% principals</t>
  </si>
  <si>
    <t>Average visas per principal</t>
  </si>
  <si>
    <t>Average 2017-2024</t>
  </si>
  <si>
    <t>AOS</t>
  </si>
  <si>
    <t>All</t>
  </si>
  <si>
    <t>ROW / Total</t>
  </si>
  <si>
    <t>Data</t>
  </si>
  <si>
    <t>Percentage of EB-5 Principal Applicants at State</t>
  </si>
  <si>
    <t>% derivatives at State</t>
  </si>
  <si>
    <t>China - Mainland</t>
  </si>
  <si>
    <t>Vietnam</t>
  </si>
  <si>
    <t>South Korea</t>
  </si>
  <si>
    <t>Brazil</t>
  </si>
  <si>
    <t>China – Taiwan</t>
  </si>
  <si>
    <t>FYTD 2024</t>
  </si>
  <si>
    <t>FY 2023</t>
  </si>
  <si>
    <t>FY 2022</t>
  </si>
  <si>
    <t>FY 2021</t>
  </si>
  <si>
    <t>Sources:</t>
  </si>
  <si>
    <t>EB-5 Visa Updates, Michael Hanley, Ph.D
FYTD-2024 and FY-2025 Outlook</t>
  </si>
  <si>
    <t>PART ONE: A DISCUSSION WITH CHARLES OPPENHEIM (Nov 20, 2019)</t>
  </si>
  <si>
    <t>https://iiusa.org/wp-content/uploads/2020/11/Virutal-Industry-Forum-Visa-Update.pdf</t>
  </si>
  <si>
    <t>Percentage of Investors in total EB-5 visas issued from Yearbook of Immigration Statistics</t>
  </si>
  <si>
    <t>Average visas per investor</t>
  </si>
  <si>
    <t>New Arrivals</t>
  </si>
  <si>
    <t>Average</t>
  </si>
  <si>
    <t>Yearbook of Immigration Statistics</t>
  </si>
  <si>
    <t>https://ohss.dhs.gov/topics/immigration/yearbook</t>
  </si>
  <si>
    <t>Detail of visas by immigration path in FY2023</t>
  </si>
  <si>
    <t>Status Adjustments</t>
  </si>
  <si>
    <t>Investor</t>
  </si>
  <si>
    <t>Spouse</t>
  </si>
  <si>
    <t>Child</t>
  </si>
  <si>
    <t>Lawful Permanent Residents Table 7</t>
  </si>
  <si>
    <t>https://ohss.dhs.gov/topics/immigration/yearbook-immigration-statistics/yearbook-2023</t>
  </si>
  <si>
    <t>High Unemployment Area</t>
  </si>
  <si>
    <t>Rural Area</t>
  </si>
  <si>
    <t>Rural Area and High Unemployment Area</t>
  </si>
  <si>
    <t>None</t>
  </si>
  <si>
    <t>Taiwan</t>
  </si>
  <si>
    <t>I-526</t>
  </si>
  <si>
    <t>I-526E</t>
  </si>
  <si>
    <t>Unknown</t>
  </si>
  <si>
    <t>Other**</t>
  </si>
  <si>
    <t>Data related to progress in issuing Reserved visas, and advancing pipeline applicants to the visa stage</t>
  </si>
  <si>
    <t>EB-5 Backlog Analysis and Backlog Data</t>
  </si>
  <si>
    <t>VB Log</t>
  </si>
  <si>
    <t>Pre-RIA Data</t>
  </si>
  <si>
    <t>FYI: Collection of pre-RIA data with source links</t>
  </si>
  <si>
    <t>FYI: Log of past visa bulletins</t>
  </si>
  <si>
    <t>Pre-RIA EB-5 Backlog Data Collection</t>
  </si>
  <si>
    <t>This data is relevant to applicants who filed I-526 prior to the EB-5 Reform and Integrity Act (RIA) enacted in March 2022</t>
  </si>
  <si>
    <t>I-526 Filings by Fiscal Year</t>
  </si>
  <si>
    <t>Year I-526 filed</t>
  </si>
  <si>
    <t>Worldwide</t>
  </si>
  <si>
    <t>Other than China, India</t>
  </si>
  <si>
    <t>FY2013</t>
  </si>
  <si>
    <t>https://www.uscis.gov/sites/default/files/files/nativedocuments/I-526_Approvals_Denials_and_Receipts_for_Q1_of_FY19.pdf</t>
  </si>
  <si>
    <t>FY2014</t>
  </si>
  <si>
    <t>https://www.uscis.gov/sites/default/files/document/data/I-526_accepted_petitions_for_India_in_the_months_October_2018-May_2019.pdf</t>
  </si>
  <si>
    <t>https://iiusa.org/blog/analyzing-form-i-526-statistics-by-investors-country-of-chargeability-for-fiscal-year-2017-what-is-new-and-what-it-tells-us/</t>
  </si>
  <si>
    <t>https://iiusa.org/wp-content/uploads/2017/08/A-New-Lens-What-the-Lastest-Data-Tells-Us-about-Raising-EB-5-Captial-in-an-Increasingly-Challenging-Marketplace.pdf</t>
  </si>
  <si>
    <t>https://iiusa.org/wp-content/uploads/2022/04/IIUSA-RCBJ_April2022-update.pdf</t>
  </si>
  <si>
    <t>https://www.galati.law/post/new-data-i-526-receipts-by-month-by-investor-country-of-birth-oct-2019-oct-2020</t>
  </si>
  <si>
    <t>https://www.dropbox.com/s/zxkmwye1yr1100t/i526list.pdf?dl=0</t>
  </si>
  <si>
    <t>I-526 datasets available for purchase from IIUSA for FY1991 to FY2020</t>
  </si>
  <si>
    <t>FY2022 -- Oct 2021 to March 2022</t>
  </si>
  <si>
    <t>2022-2024 per-country approval rate</t>
  </si>
  <si>
    <t>2021/2022 data for India estimated based on FOIA results for petitions pending and approved as of June 2023 (FOIA COW2023003820)</t>
  </si>
  <si>
    <t>I-526 Approval Rate by Country</t>
  </si>
  <si>
    <t>I-526 approvals as percent total I-526 completions</t>
  </si>
  <si>
    <t>Year I-526 adjudicated</t>
  </si>
  <si>
    <t>Korea</t>
  </si>
  <si>
    <t>All Except China India</t>
  </si>
  <si>
    <t>Worldwide average</t>
  </si>
  <si>
    <t>Number of I-526 Completions</t>
  </si>
  <si>
    <t>FY2024 Oct-Mar</t>
  </si>
  <si>
    <t>I-526 Pending and Applicants in Process</t>
  </si>
  <si>
    <t>I-526 Inventory at USCIS by Country and I-526 Filing Date</t>
  </si>
  <si>
    <t>Pre-RIA I-526 Pending as of July 31, 2024 -- Summary</t>
  </si>
  <si>
    <t>Source: USCIS Response to AIIA FOIA Request</t>
  </si>
  <si>
    <t>I-526, Immigrant Petition by Standalone Investor</t>
  </si>
  <si>
    <t>I-526E, Immigrant Petition by Regional Center Investor</t>
  </si>
  <si>
    <t>Pending Petitions by Priority Year, Priority Month, and Country of Chargeability</t>
  </si>
  <si>
    <t>As of July 31, 2024</t>
  </si>
  <si>
    <t>Department of Homeland Security, U.S. Citizenship and Immigration Services, Office of Performance and Quality</t>
  </si>
  <si>
    <t>NPD, queried 09/2024, TRK 15578</t>
  </si>
  <si>
    <t xml:space="preserve">EB-5 Form I-526 pending as of July 31, 2024with priority dates before April 2022 </t>
  </si>
  <si>
    <t>Pending I-526 Inventory as of December 13, 2020</t>
  </si>
  <si>
    <t>Number of I-526 Pending as of December 13, 2020</t>
  </si>
  <si>
    <t>Fiscal Year of Filing</t>
  </si>
  <si>
    <t>Other Countries</t>
  </si>
  <si>
    <t>Source: USCIS Response to FOIA request COW2020000203 by Suzane Lazicki</t>
  </si>
  <si>
    <t>Total as of 12/13/2020</t>
  </si>
  <si>
    <t>Pending I-526 as of November 2021</t>
  </si>
  <si>
    <t xml:space="preserve">Source: </t>
  </si>
  <si>
    <t>Slide 8</t>
  </si>
  <si>
    <t>Total as of 11/2021</t>
  </si>
  <si>
    <t>https://iiusa.org/wp-content/uploads/2022/04/Session-4b_Numbers-Talk-What-the-Latest-EB-5-Data-is-Telling-Us.pdf</t>
  </si>
  <si>
    <t>Pending I-526 Inventory as of March 2022</t>
  </si>
  <si>
    <t>Source: FOIA request by AIIA</t>
  </si>
  <si>
    <t>Total as of 3/2022</t>
  </si>
  <si>
    <t xml:space="preserve"> https://goaiia.org/aiia-foia-series-pending-i526-i829-by-country/</t>
  </si>
  <si>
    <t>Total Pre-RIA I-526 Adjudicated FY2022-FY2024</t>
  </si>
  <si>
    <t>Source: FOIA request by IIUSA</t>
  </si>
  <si>
    <t>FY2024 to June</t>
  </si>
  <si>
    <t>Estimated pending inventory as of June 30, 2024</t>
  </si>
  <si>
    <t>Percent of 2024 I-526 approvals sent to DOS as of August 2024</t>
  </si>
  <si>
    <t>Most recent USCIS Official I-526  inventory report</t>
  </si>
  <si>
    <t>Source</t>
  </si>
  <si>
    <t>as of 9/30/2023</t>
  </si>
  <si>
    <t>as of 12/31/2023</t>
  </si>
  <si>
    <t>as of 6/30/2025</t>
  </si>
  <si>
    <t>Total pending I-526 inventory</t>
  </si>
  <si>
    <t>https://www.uscis.gov/sites/default/files/document/data/quarterly_all_forms_fy2024_q1.xlsx</t>
  </si>
  <si>
    <t>Number of I-526 completions in most recent quarter</t>
  </si>
  <si>
    <t>https://www.uscis.gov/sites/default/files/document/data/net_backlog_frontlog_fy2024_q1.xlsx</t>
  </si>
  <si>
    <t>Number of I-526 approvals in most recent quarter</t>
  </si>
  <si>
    <t>Net backlog: inventory less any customer induced delays (i.e. RFE, intent to deny, etc.) and visa unavailable cases</t>
  </si>
  <si>
    <t>Backlog at NVC</t>
  </si>
  <si>
    <t xml:space="preserve">Sources: </t>
  </si>
  <si>
    <t xml:space="preserve">http://immigrationroad.com/documents/DOS-Consular-Processing-Inventory_20141101.pdf
https://www.bakerdonelson.com/files/Uploads/Documents/Divine%20The%20Realities.pdf
</t>
  </si>
  <si>
    <t>EB-5 Applicants Registered at the National Visa Center</t>
  </si>
  <si>
    <t xml:space="preserve">http://www.ilw.com/immigrationdaily/news/2016,0111-AnnualReport.pdf
https://www.bakerdonelson.com/files/Uploads/Documents/Divine%20The%20Realities.pdf
</t>
  </si>
  <si>
    <t>As of Nov. 2014</t>
  </si>
  <si>
    <t>As of Nov. 2015</t>
  </si>
  <si>
    <t>As of Nov 2016</t>
  </si>
  <si>
    <t>As of Nov 2017</t>
  </si>
  <si>
    <t>As of Nov 2018</t>
  </si>
  <si>
    <t>As of Nov 2019</t>
  </si>
  <si>
    <t>as of Nov 2020</t>
  </si>
  <si>
    <t>of Nov 2021</t>
  </si>
  <si>
    <t>as of Nov 2022</t>
  </si>
  <si>
    <t>of Nov 2023</t>
  </si>
  <si>
    <t>as of 5/16/2024</t>
  </si>
  <si>
    <t>https://www.dropbox.com/s/72n9vn52fnyg7fm/WaitingListItem.pdf?dl=0 (Used to be at https://travel.state.gov/content/dam/visas/Statistics/Immigrant-Statistics/WaitingListItem.pdf)</t>
  </si>
  <si>
    <t>China-mainland born</t>
  </si>
  <si>
    <t>https://travel.state.gov/content/dam/visas/Statistics/Immigrant-Statistics/WaitingList/WaitingListItem_2017.pdf</t>
  </si>
  <si>
    <t>https://travel.state.gov/content/dam/visas/Statistics/Immigrant-Statistics/WaitingList/WaitingListItem_2018.pdf</t>
  </si>
  <si>
    <t>https://travel.state.gov/content/dam/visas/Statistics/Immigrant-Statistics/WaitingList/WaitingListItem_2019.pdf</t>
  </si>
  <si>
    <t>Korea, South</t>
  </si>
  <si>
    <t>https://travel.state.gov/content/dam/visas/Statistics/Immigrant-Statistics/WaitingList/WaitingListItem_2020_vF.pdf</t>
  </si>
  <si>
    <t>Hong Kong S.A.R.</t>
  </si>
  <si>
    <t>https://travel.state.gov/content/dam/visas/Statistics/Immigrant-Statistics/WaitingList/WaitingListItem_2021vF.pdf</t>
  </si>
  <si>
    <t>China-Taiwan born</t>
  </si>
  <si>
    <t>https://www.uscis.gov/sites/default/files/USCIS/Resources/Reports%20and%20Studies/Immigration%20Forms%20Data/Employment-based/EB_I140_I360_I526_performancedata_fy2020_Q1_Q2.pdf</t>
  </si>
  <si>
    <t>https://travel.state.gov/content/dam/visas/Statistics/Immigrant-Statistics/WaitingList/WaitingListItem_2022.pdf</t>
  </si>
  <si>
    <t>All Others</t>
  </si>
  <si>
    <t>https://travel.state.gov/content/dam/visas/Statistics/Immigrant-Statistics/WaitingList/WaitingListItem_2023_vF.pdf</t>
  </si>
  <si>
    <t>Worldwide Total</t>
  </si>
  <si>
    <t>Except China and India</t>
  </si>
  <si>
    <t xml:space="preserve">EB-5 Applicants with Petitions on File at NVC </t>
  </si>
  <si>
    <t>(detail by applicant priority date and Foreign State of Chargeability)</t>
  </si>
  <si>
    <t>data as of May 16, 2024</t>
  </si>
  <si>
    <t>Active EB-5 Applicants at NVC by Foreign State of Chargeability (FSC)</t>
  </si>
  <si>
    <t>Calendar Year of Priority Date</t>
  </si>
  <si>
    <t>FSC</t>
  </si>
  <si>
    <t>2014*</t>
  </si>
  <si>
    <t>Pre-RIA</t>
  </si>
  <si>
    <t>China - Mainland**</t>
  </si>
  <si>
    <t>South Africa</t>
  </si>
  <si>
    <t>*All years prior to 2014 included in this statistic</t>
  </si>
  <si>
    <t>**Includes 7,504 applicants not current by the Filing Date</t>
  </si>
  <si>
    <t>I-485 EB-5 Backlog for Adjustment of Status</t>
  </si>
  <si>
    <r>
      <t xml:space="preserve">Summary of Pending Unreserved EB-5 I-485 as of </t>
    </r>
    <r>
      <rPr>
        <b/>
        <sz val="11"/>
        <color rgb="FF00B050"/>
        <rFont val="Aptos Narrow"/>
        <family val="2"/>
        <scheme val="minor"/>
      </rPr>
      <t>August 3, 2024</t>
    </r>
  </si>
  <si>
    <t>Summary of Pending Unreserved EB-5 I-485 as of November 3, 2024</t>
  </si>
  <si>
    <t>Priority dates from 2015 to 2024</t>
  </si>
  <si>
    <t>https://www.uscis.gov/sites/default/files/document/data/eb_inventory_april_2024_071924.xlsx</t>
  </si>
  <si>
    <t>https://www.uscis.gov/sites/default/files/document/reports/eb_inventory_august_2024_081324.xlsx</t>
  </si>
  <si>
    <t>Counted I-485</t>
  </si>
  <si>
    <t>Count of "D" values</t>
  </si>
  <si>
    <t>Max value per "D"</t>
  </si>
  <si>
    <t>Max value of all "D"</t>
  </si>
  <si>
    <t>Max count of pending I-485</t>
  </si>
  <si>
    <t>Calendar Year of priority date</t>
  </si>
  <si>
    <t>2015 and earlier</t>
  </si>
  <si>
    <t>EB-5 I-485 pending as of June 30, 2021</t>
  </si>
  <si>
    <t>approximately, according to USCIS Service Center operations speaker at the 4/29/2022 EB-5 stakeholder meeting</t>
  </si>
  <si>
    <t>All Employment-Based I-485 Inventory pending at Service Centers and Field Offices as of October 2019</t>
  </si>
  <si>
    <t>I-485 inventory as of October 2019 (PDF, 276.55 KB)</t>
  </si>
  <si>
    <t>Fifth Preference</t>
  </si>
  <si>
    <t>Year of Priority Date</t>
  </si>
  <si>
    <t>All Other</t>
  </si>
  <si>
    <t>EB-5 Visas Issued</t>
  </si>
  <si>
    <t xml:space="preserve">State Department Report of the Visa Office </t>
  </si>
  <si>
    <t>https://travel.state.gov/content/travel/en/legal/visa-law0/visa-statistics/annual-reports.html</t>
  </si>
  <si>
    <t>https://iiusa.org/wp-content/uploads/2024/06/Insights-from-DOS-Recap-of-2024-IIUSA-EB-5-Forum.pdf</t>
  </si>
  <si>
    <t>All Except China and India</t>
  </si>
  <si>
    <t>Consular processing</t>
  </si>
  <si>
    <t>Adjustment of Status</t>
  </si>
  <si>
    <t>AOS % Total</t>
  </si>
  <si>
    <t>EB-5 Visa Annual Limit</t>
  </si>
  <si>
    <t>Annual Limit Unreserved</t>
  </si>
  <si>
    <t>EB-5 Visas Lost</t>
  </si>
  <si>
    <t>Unreserved visas carried over</t>
  </si>
  <si>
    <t>Reserved visas carried over</t>
  </si>
  <si>
    <t>Visas available to Pre-RIA</t>
  </si>
  <si>
    <t>Reserved</t>
  </si>
  <si>
    <t>Family Size</t>
  </si>
  <si>
    <t>EB-5 visas per principal applicant by immigration path in FY2023</t>
  </si>
  <si>
    <t>EB-5 visas per principal applicant by country</t>
  </si>
  <si>
    <t>Average % of principal applicants in all EB-5 visas issued FY19</t>
  </si>
  <si>
    <t>Average visas per I-526</t>
  </si>
  <si>
    <t>Percentage of EB-5 Principal Applicants at State (FY 2021-FYTD 2024)</t>
  </si>
  <si>
    <t>S. Korea</t>
  </si>
  <si>
    <t>VIETNAM</t>
  </si>
  <si>
    <t>% principals in EB-5 Visas Issued to China</t>
  </si>
  <si>
    <t>Family per Principal</t>
  </si>
  <si>
    <t>Y-o-y change</t>
  </si>
  <si>
    <t>Status Adjustment History</t>
  </si>
  <si>
    <t>EB-5 Visas Issued Through Adjustment of Status</t>
  </si>
  <si>
    <t>By country of origin</t>
  </si>
  <si>
    <t>China Mainland born</t>
  </si>
  <si>
    <t>Visa-Stage Denial History</t>
  </si>
  <si>
    <t>Visa-Stage Denial Rates</t>
  </si>
  <si>
    <t>Percent of EB-5 visa adjudications that were refusals or denials 2016-2021</t>
  </si>
  <si>
    <t>https://www.gao.gov/products/gao-23-106452</t>
  </si>
  <si>
    <t>State (DS-260)</t>
  </si>
  <si>
    <t>USCIS (-485)</t>
  </si>
  <si>
    <t>Overall</t>
  </si>
  <si>
    <t>All countries</t>
  </si>
  <si>
    <t>Consular Processing Timing</t>
  </si>
  <si>
    <t>Months from I-526 approval to NVC transfer</t>
  </si>
  <si>
    <t>Months from NVC notification to Interview</t>
  </si>
  <si>
    <t>S Korea</t>
  </si>
  <si>
    <t>Other Visa Data</t>
  </si>
  <si>
    <t>USCIS Report Date</t>
  </si>
  <si>
    <t>Visa Bulletin Date</t>
  </si>
  <si>
    <t>Final Action Date in Visa Bulletin</t>
  </si>
  <si>
    <t>https://www.uscis.gov/sites/default/files/document/data/EB_I140_I360_I526_performancedata_fy2022_Q3_Q4.pdf</t>
  </si>
  <si>
    <t>https://www.uscis.gov/sites/default/files/document/data/EB_I140_I360_I526_performancedata_fy2022_Q1_Q2.pdf</t>
  </si>
  <si>
    <t>https://www.uscis.gov/sites/default/files/document/data/EB_I140_I360_I526_performancedata_fy2021_Q3_Q4.pdf</t>
  </si>
  <si>
    <t>https://www.uscis.gov/sites/default/files/document/reports/EB_I140_I360_I526_performancedata_fy2020_Q3_Q4.pdf</t>
  </si>
  <si>
    <t>https://www.uscis.gov/sites/default/files/document/reports/eb_i140_i360_i526_performancedata_fy2024_q2.xlsx</t>
  </si>
  <si>
    <t>Other I-526 Data</t>
  </si>
  <si>
    <t>I-526 Receipt Data by Quarter (Worldwide)</t>
  </si>
  <si>
    <t>http://www.uscis.gov/tools/reports-studies/immigration-forms-data</t>
  </si>
  <si>
    <t>Period during which the receipt or completion was recorded</t>
  </si>
  <si>
    <t>I-526 Receipts</t>
  </si>
  <si>
    <t>Annual</t>
  </si>
  <si>
    <t>% Annual</t>
  </si>
  <si>
    <t>I-526 Completions</t>
  </si>
  <si>
    <t>2014 Q1. Oct - Dec 2013</t>
  </si>
  <si>
    <t>2014 Q2. Jan - Mar 2014</t>
  </si>
  <si>
    <t>2014 Q3. Apr - Jun 2014</t>
  </si>
  <si>
    <t>2014 Q4. Jul - Sep 2014</t>
  </si>
  <si>
    <t>Detail of I-526 Inventory as of December 2020</t>
  </si>
  <si>
    <t>I-526, Immigrant Petition by Alien Entrepreneur</t>
  </si>
  <si>
    <t>Number of Pending Petitions by Country of Birth</t>
  </si>
  <si>
    <t>Report Run Date is December 13, 2020</t>
  </si>
  <si>
    <t>Year Received</t>
  </si>
  <si>
    <t>Other I-526 Receipt Data by Country</t>
  </si>
  <si>
    <t>Receipt Month</t>
  </si>
  <si>
    <t>Receipt Count</t>
  </si>
  <si>
    <t>Galati FOIA Request</t>
  </si>
  <si>
    <t>I-526 Filings by Quarter</t>
  </si>
  <si>
    <t>Data Source: IIUSA FOIA Request (COW2017000616)</t>
  </si>
  <si>
    <t xml:space="preserve">I-526, Immigrant Petition by Alien Investor Number of Pending Petitions for India Country of Birth </t>
  </si>
  <si>
    <t>Source: Individual FOIA Request (COW2023003820)</t>
  </si>
  <si>
    <t>Filings without Visa Available per June 2023 Visa Bulletin</t>
  </si>
  <si>
    <t>Department of Homeland Security, U.S. Citizenship and Immigration Services, Office of Performance and Quality.</t>
  </si>
  <si>
    <t>Received Between January 1, 2017 and April 1, 2022</t>
  </si>
  <si>
    <t>C3 and ELIS, queried 06/2023 TRK_12184</t>
  </si>
  <si>
    <t>Filing Date</t>
  </si>
  <si>
    <t>India I-526 Pending as of June 2023</t>
  </si>
  <si>
    <t>India I-526 Approved as of June 2023</t>
  </si>
  <si>
    <t>Total (not including denials or withdrawals as of June 2023)</t>
  </si>
  <si>
    <t>Pending as of June 2023</t>
  </si>
  <si>
    <t>Filing estimate</t>
  </si>
  <si>
    <t>Past backlog estimates from Charles Oppenheim for IIUSA</t>
  </si>
  <si>
    <t>Department of State report of EB-5 applicants pending at NVC plus estimate of future EB-5 applicants associated with pending I-526</t>
  </si>
  <si>
    <r>
      <t xml:space="preserve">EB-5 Applicants with Petitions on file at NVC and Estimated USCIS Applicant Data as of </t>
    </r>
    <r>
      <rPr>
        <b/>
        <sz val="11"/>
        <color rgb="FFFF0000"/>
        <rFont val="Aptos Narrow"/>
        <family val="2"/>
        <scheme val="minor"/>
      </rPr>
      <t>10/1/2020</t>
    </r>
  </si>
  <si>
    <t>Calculation of assumptions in DOS Estimate</t>
  </si>
  <si>
    <t>https://iiusa.org/wp-content/uploads/2022/08/IIUSA-2019-EB-5-Industry-Forum_Visa-Update-w-Charlie-Oppenheim-and-Roundtable-Discussion.pdf</t>
  </si>
  <si>
    <t>=C/D</t>
  </si>
  <si>
    <t>=A*E</t>
  </si>
  <si>
    <t>=B*E</t>
  </si>
  <si>
    <t>https://iiusa.org/wp-content/uploads/2018/11/EB-5-AILA.IIUSA-Visa-numbers-panel-for-EB-5-Conference-October-2018.pdf</t>
  </si>
  <si>
    <t>Country</t>
  </si>
  <si>
    <t>Actual # applicants at NVC</t>
  </si>
  <si>
    <t>DOS estimated # applicants with petition on file at USCIS</t>
  </si>
  <si>
    <t>Estimated Total</t>
  </si>
  <si>
    <t>Estimated years to visa availability for a petition filed 10/1/2020</t>
  </si>
  <si>
    <t>Implied average visas per year</t>
  </si>
  <si>
    <t>% visas issued to principal applicants</t>
  </si>
  <si>
    <t>Estimated principal applicants at NVC</t>
  </si>
  <si>
    <t>Estimated principal applicants at USCIS</t>
  </si>
  <si>
    <t>Estimated total principal applicants</t>
  </si>
  <si>
    <t>Pending I-526</t>
  </si>
  <si>
    <t>China Mainland</t>
  </si>
  <si>
    <t>China Taiwan</t>
  </si>
  <si>
    <t>ROW except China, India</t>
  </si>
  <si>
    <t>Source: Charles Oppenheim November 2020 Presentation for IIUSA</t>
  </si>
  <si>
    <t>Note: Column B includes applicants associated with pending I-526, not I-485. DOS does not have visibility into pending EB-5 I-485 numbers, so does not include them in its backlog estimate</t>
  </si>
  <si>
    <r>
      <t xml:space="preserve">EB-5 Applicants with Petitions on file at NVC and Estimated USCIS Applicant Data as of </t>
    </r>
    <r>
      <rPr>
        <b/>
        <sz val="11"/>
        <color rgb="FFFF0000"/>
        <rFont val="Aptos Narrow"/>
        <family val="2"/>
        <scheme val="minor"/>
      </rPr>
      <t>11/2021</t>
    </r>
  </si>
  <si>
    <t>Analysis of estimate inputs</t>
  </si>
  <si>
    <t>=B/D</t>
  </si>
  <si>
    <t>Estimated # applicants with petition on file at USCIS</t>
  </si>
  <si>
    <t>ACTUAL I-526 pending as of November 2021</t>
  </si>
  <si>
    <t xml:space="preserve">IIUSA estimated visas per pending I-526 </t>
  </si>
  <si>
    <t>Source: Charles Oppenheim April 2022 Presentation for IIUSA</t>
  </si>
  <si>
    <t>Visa Bulletin Log</t>
  </si>
  <si>
    <t>Log of EB-5 entries in monthly Visa Bulletins since May 2015</t>
  </si>
  <si>
    <t>DOS</t>
  </si>
  <si>
    <t>https://travel.state.gov/content/travel/en/legal/visa-law0/visa-bulletin.html</t>
  </si>
  <si>
    <t>USCIS</t>
  </si>
  <si>
    <t>https://www.uscis.gov/visabulletininfo</t>
  </si>
  <si>
    <t>Log of Visa Bulletin Updates</t>
  </si>
  <si>
    <t>Visa Bulletin Note</t>
  </si>
  <si>
    <t>Employment Fifth:  Current*
*The following advisory is based strictly on the current demand situation.  Since demand patterns can (and sometimes do) change over time, this should be considered a worst case scenario at this point. 
It appears likely that a cut-off date will need to be established for the China Employment Fifth preference category at some point during second half of fiscal year 2013.  Such action would be delayed as long as possible, since while number use may be excessive over a 1 to 5 month period, it could average out to an acceptable level over a longer (e.g., 4 to 9 month) period.  This would be the first time a cut-off date has been established in this category, which is why readers are being provided with the maximum amount of advance notice regarding the possibility.</t>
  </si>
  <si>
    <t>Adjustment of Status uses…</t>
  </si>
  <si>
    <t>[Guangzhou stopped issuing visas 2/2020]</t>
  </si>
  <si>
    <t>EMPLOYMENT-based categories (potential monthly movement): Employment Fifth:  The category will remain “Current” for most countries       
   China:  No forward movement
   Vietnam:  Up to three weeks The above final action date projections for the Family and Employment categories indicate what is likely to happen on a monthly basis through May.</t>
  </si>
  <si>
    <t>@TravelGov will begin hosting "Chats with Charlie" on our YouTube channel (https://www.youtube.com/user/TravelGov) to discuss information provided in the monthly Visa Bulletin.  The first chat is scheduled to take place on March 17, 2021 at 1:00 pm EST to discuss the April Visa Bulletin. </t>
  </si>
  <si>
    <t>Chart B except RC EB-5 (USCIS will not accept any new employment-based fifth preference adjustment of status applications based on the Regional Center Program until that program is reauthorized. )</t>
  </si>
  <si>
    <r>
      <t xml:space="preserve">F.  </t>
    </r>
    <r>
      <rPr>
        <b/>
        <u/>
        <sz val="11"/>
        <color theme="1"/>
        <rFont val="Aptos Narrow"/>
        <family val="2"/>
        <scheme val="minor"/>
      </rPr>
      <t>VISA AVAILABILITY IN THE COMING MONTHS</t>
    </r>
    <r>
      <rPr>
        <b/>
        <sz val="11"/>
        <color theme="1"/>
        <rFont val="Aptos Narrow"/>
        <family val="2"/>
        <scheme val="minor"/>
      </rPr>
      <t>: The final action date projections for the Family and Employment categories indicate what is likely to happen on a monthly basis through January.  Employment Fifth:  Current for most countries; China: No forward movement</t>
    </r>
  </si>
  <si>
    <t>F.  EXPLANATION OF THE NUMERICAL CONTROL SYSTEM, ANNUAL AND PER-COUNTRY LIMITS
WHAT CAUSES THE ESTABLISHMENT OF FINAL ACTION DATES?
The Visa Office (VO) subdivides the annual preference and foreign state limitations specified in the Immigration and Nationality Act (INA) into twelve monthly allotments. The totals of documentarily complete applicants that have been reported to VO are compared each month with the numbers available for the next regular allotment and numbers are allocated to reported applicants in order of their priority dates (the oldest dates first). 
- If there are enough visa numbers available in a particular category to satisfy all reported documentarily complete demand, the category is considered “Current.”  For example, if the Employment First preference monthly target is 5,000 and there are only 3,000 applicants, the category is considered “Current.”
-  Whenever the total number of documentarily complete applicants in a category exceeds the supply of numbers available for allotment for the upcoming month, the category is considered “oversubscribed”, and a visa availability final action date is established. The final action date is the priority date of the first documentarily complete applicant who could not be accommodated for the use of a visa number. For example, if the Employment First preference monthly target is 5,000 and there are 8,000 applicants, a final action date would be established so that only 5,000 numbers would be used, and the final action date would be the priority date of the 5,001st applicant.
Applicants entitled to immigrant status become documentarily complete at their own initiative and convenience and upon the completion of various processing requirements.  Therefore, it is extremely important to remember that by no means has every applicant with a priority date earlier than a prevailing final action date been processed for final visa action.  On the contrary, visa allotments are made only based on the total applicants reported documentarily complete each month and in consideration of other variables.  Demand for visa numbers can fluctuate from one month to another with an inevitable impact on final action dates, an important fact to remember as processing continues to return to normal pre-COVID levels.  
Annual Family-sponsored and Employment-based limit:  Section 201 of the INA sets an annual minimum Family-sponsored preference limit of 226,000, while the worldwide annual level for Employment-based preference immigrants is at least 140,000. Unused numbers from the previous year’s annual limits are considered in the calculation of these annual limits.  
Per-country limit: The annual per-country limitation of 7% is a cap, which visa issuances to any single country may not exceed.  Applicants compete for visas primarily on a worldwide basis.  The per-country limitation serves to avoid monopolization of virtually all the annual limitation by applicants from only a few countries. This limitation is not a quota to which any particular country is entitled, however. 
Applicability of Section 202(a)(5):  INA Section 202(a)(5), added by the American Competitiveness Act in the 21st Century, removed the per-country limit on Employment-based immigrants in any calendar quarter in which applicant demand for numbers in one or more Employment-based preferences is less than the total of such numbers available.  In recent years, the application of Section 202(a)(5) has allowed countries such as China – mainland born and India to utilize large amounts of Employment-based preference numbers, which otherwise would have gone unused.  Such numbers are provided strictly in priority date order without regard to the foreign state chargeability, and the same final action date applies to any country benefiting from this provision.
Applicability of Section 202(e):  When visa demand by documentarily complete applicants from a particular country exceeds the amount of numbers available under the annual numerical limitation, that country is considered to be oversubscribed.  Oversubscription may require the establishment of an earlier final action date than that which applies to a particular visa category on a worldwide basis. The prorating of numbers for an oversubscribed country follows the same percentages specified for the division of the worldwide annual limitation among the preferences. (Note that visa availability final action dates for oversubscribed areas may not be later than worldwide final action dates, if any, for the respective preferences.)</t>
  </si>
  <si>
    <t xml:space="preserve">F.  CHINA-MAINLAND BORN EMPLOYMENT-BASED FIFTH PREFERENCE C5 AND T5 NON-REGIONAL CENTER VISA CATEGORIES BECOME “CURRENT” FOR DECEMBER   
These categories have become “Current” for December; however if China-mainland born number use were to materialize at a level which could potentially jeopardize visa availability under the overall FY-2022 Employment-based Fifth preference annual limit it would then be necessary to once again impose a final action date. </t>
  </si>
  <si>
    <t>If there is legislative action extending this category for January, the final action dates would immediately become “Current” for January for all countries except China-mainland born I5 and R5, which would be subject to a November 22, 2015 final action date.</t>
  </si>
  <si>
    <t>D.  EXPIRATION OF THE EMPLOYMENT-BASED FIFTH PREFERENCE I5 AND R5 REGIONAL CENTER VISA CATEGORIES
Division O, Title 1, Section 104 of the Consolidated Appropriations Act, 2021 extended the immigrant investor pilot program until June 30, 2021.  No I5 or R5 visas may be issued overseas, or final action taken on adjustment of status cases after June 30, 2021.
The final action dates for the I5 and R5 categories have been listed as “Unavailable” for March.
If there is legislative action extending this category for March, the final action dates would immediately become “Current” for March for all countries except China-mainland born I5 and R5, which would be subject to a November 22, 2015 final action date. It may also become necessary to establish a China-mainland born final action date and application filing date for the C5 and T5 categories as early as April to keep number use within the maximum allowed under the FY-2022 annual limits. In addition, if sufficient demand materializes in the Employment-based Fifth Preference category, corrective action may need to be taken in the India Employment-based Second Preference category, which would have utilized any otherwise unused numbers from the Employment-based Fifth Preference.</t>
  </si>
  <si>
    <t>The Consolidated Appropriations Act, 2022, which reauthorizes and reforms the EB-5 Immigrant Investor Regional Center Program, was signed by the President of the United States on March 15, 2022. Certain Regional Center Program aspects of this legislation go into effect 60 days after the date of the enactment of this Act.  More information will be published in coming editions of the Visa Bulletin.</t>
  </si>
  <si>
    <t>China Visa Bulletin EB-5</t>
  </si>
  <si>
    <t>India Visa Bulletin EB-5</t>
  </si>
  <si>
    <t>C category specifically for China direct. Fifth:  Employment Creation:  7.1% of the worldwide level, of which 32% are reserved as follows: 20% reserved for qualified immigrants who invest in a rural area; 10% reserved for qualified immigrants who invest in a high unemployment area; and 2% reserved for qualified immigrants who invest in infrastructure projects. The remaining 68% are unreserved and are allotted for all other qualified immigrants.</t>
  </si>
  <si>
    <t>It has become necessary to establish a final action date and application filing date for C5 and T5 China-mainland born because sufficient demand has materialized as readers were cautioned was a possibility in Item D of the May 2022 Visa Bulletin. China-mainland born C5 and T5 applicants are subject to a 22NOV15 final action date and an application filing date of 15DEC15.</t>
  </si>
  <si>
    <t>F. .  RETROGRESSION IN THE EMPLOYMENT-BASED FIFTH PREFERENCE (EB-5) FOR INDIA
As readers were informed was possible in Item F of the May 2023 Visa Bulletin, it has become necessary to retrogress the EB-5 final action date for India effective in June. India’s number use in the family and employment preference categories for FY-2023 is subject to prorating under INA 202(e). Number use has been consistently robust throughout the fiscal year in the family and employment preference categories, and it has been determined that India is approaching its prorated limit for EB-5 numbers. Thus, applicants from India are subject to a final action date of 01APR17. This situation will be continually monitored, and any necessary adjustments will be made accordingly.</t>
  </si>
  <si>
    <t xml:space="preserve">Employment-based number use by both USCIS and Department of State has been steady during the fiscal year. As a result, most employment-based preference category limits and/or the overall employment-based preference limit for FY 2023 are expected to be reached during September. </t>
  </si>
  <si>
    <t>These provisions apply at present to the following oversubscribed chargeability areas:  CHINA-mainland born, INDIA, MEXICO, and PHILIPPINES.   E.  EMPLOYMENT-BASED VISA AVAILABILITY FOR FY-2024
Final action dates across most employment-based visa categories have advanced, reflecting new visa numbers available for FY-2024.  Date advancements reflect an intention to keep visa issuance within quarterly limits in accordance with INA sections 201(a)(2) and 203(g), with potential date advancements throughout the fiscal year.  However, actual date movements will be dependent on visa demand and issuance patterns throughout FY-2024.</t>
  </si>
  <si>
    <t>EMPLOYMENT-based categories: Very little to no forward movement is expected in the coming months since the final action dates for many categories advanced for April 2024.</t>
  </si>
  <si>
    <t>E.  VISA AVAILABILIY IN THE EMPLOYMENT FIFTH PREFERENCE (EB-5) SET ASIDE CATEGORIES
The Department of State and USCIS note increased I-526E petition approvals, and both agencies see increasing numbers of individuals processing their applications to completion in the EB-5 set aside categories.  It may become necessary to establish Dates for Filing and Final Action Dates during the fiscal year to ensure that issuances in these categories do not exceed annual limits.  This situation will be continually monitored, and any necessary adjustments will be made accordingly.</t>
  </si>
  <si>
    <t>E.  RETROGRESSION OF EMPLOYMENT-BASED FIFTH PREFERENCE (EB-5) UNRESERVED FINAL ACTION DATES FOR CHINA AND INDIA 
Increased demand and number use by China and India in the EB-5 unreserved visa categories, combined with increased Rest of World demand and number use, made it necessary to retrogress the final action dates to hold number use within the maximum allowed under the FY-2025 annual limits.  Please note that it may also become necessary to establish a final action date for Rest of World countries if demand and number use continues to increase. This situation will be continually monitored, and any necessary adjustments will be made accordingly.</t>
  </si>
  <si>
    <t>D.  RETROGRESSION OF EMPLOYMENT-BASED FIFTH PREFERENCE (EB-5) UNRESERVED FINAL ACTION DATE FOR INDIA 
High demand and number use by India in the EB-5 unreserved visa categories, combined with increased Rest of World demand and number use, made it necessary to further retrogress the India final action date to hold number use within the maximum allowed under the FY-2025 annual limits.  Please note that it may also become necessary to establish a final action date for Rest of World countries if demand and number use continues to increase. This situation will be continually monitored, and any necessary adjustments will be made accordingly.</t>
  </si>
  <si>
    <t>Completely revised the model based on I-526/I-526E demand data through June 2025 (replacing estimates based on data as of January 2025), and replaced range of scenarios with simplistic best-case worst-case scenarios.</t>
  </si>
  <si>
    <t>Incorporated tabs previously saved in the Key EB5 Backlog Data file</t>
  </si>
  <si>
    <t>Data release date</t>
  </si>
  <si>
    <t>Data Query Date</t>
  </si>
  <si>
    <t>Link</t>
  </si>
  <si>
    <t>AIIA FOIA</t>
  </si>
  <si>
    <t>2022-2023 monthly, select countries</t>
  </si>
  <si>
    <t>https://goaiia.org/aiia-foia-series-2023-inventory-statistics/</t>
  </si>
  <si>
    <t>WR Immigration FOIA</t>
  </si>
  <si>
    <t>NPD, queried 04/2024</t>
  </si>
  <si>
    <t>2022 to Feb/Mar 2024 annual, all countries</t>
  </si>
  <si>
    <t>https://wolfsdorf.com/exclusive-new-eb-5-data-on-rural-vs-hua/</t>
  </si>
  <si>
    <t>IIUSA FOIA</t>
  </si>
  <si>
    <t>NPD, queried 07/2024</t>
  </si>
  <si>
    <t>2022 to June/July 2024 annual, select countries, receipts and adjudications</t>
  </si>
  <si>
    <t>NPD, queried 09/2024</t>
  </si>
  <si>
    <t>2022-2024/7 monthly</t>
  </si>
  <si>
    <t>https://goaiia.org/aiia-foia-series-updated-i-526e-inventory-statistics-for-july-2024/</t>
  </si>
  <si>
    <t>NPD, queried 02/2025</t>
  </si>
  <si>
    <t>2022-2025/1 monthly</t>
  </si>
  <si>
    <t>Post-RIA Receipt Data</t>
  </si>
  <si>
    <t>**Multiple categories, unknown category, or Unreserved</t>
  </si>
  <si>
    <t>Added the 5YR Analysis tab to help model scenarios for demand and visa issuance before 2030</t>
  </si>
  <si>
    <t>Employment Fifth:  Current
The above projections for the Family and Employment categories are for what is likely to happen during each of the next several months based on current applicant demand patterns. Readers should never assume that recent trends in cut-off date movements are guaranteed for the future, or that "corrective" action will not be required at some point in an effort to maintain number use within the applicable annual limits. The determination of the actual monthly cut-off dates is subject to fluctuations in applicant demand and a number of other variables. Unless indicated, those categories with a "Current" projection will remain so for the foreseeable future.</t>
  </si>
  <si>
    <t>AOS (Oct-Sept est)</t>
  </si>
  <si>
    <t>AIIA FOIA January 2025</t>
  </si>
  <si>
    <t>AIIA FOIA July 2024</t>
  </si>
  <si>
    <t>AIIA FOIA July 2025</t>
  </si>
  <si>
    <t>FY2025 visas est</t>
  </si>
  <si>
    <t>Total Visas as of 9/25 est</t>
  </si>
  <si>
    <t>Rural and HUA</t>
  </si>
  <si>
    <t>Receipts</t>
  </si>
  <si>
    <t xml:space="preserve"> High Unemployment Area</t>
  </si>
  <si>
    <t>Rural Area and HUA</t>
  </si>
  <si>
    <t xml:space="preserve"> Infrastructure</t>
  </si>
  <si>
    <t>Unreserved &amp; Unknown</t>
  </si>
  <si>
    <t>% Total Adjudicated</t>
  </si>
  <si>
    <t>I-526/I-526E Receipts, Approvals, and Denials April 1, 2022 to January 31, 2025</t>
  </si>
  <si>
    <t>% of Receipts Adjudicated as of 1/25</t>
  </si>
  <si>
    <t>% of Receipts Adjudicated as of 7/25</t>
  </si>
  <si>
    <t xml:space="preserve">AIIA January 2025 FOIA  </t>
  </si>
  <si>
    <t xml:space="preserve">AIIA July 2025 FOIA  </t>
  </si>
  <si>
    <t>India Unreserved</t>
  </si>
  <si>
    <t>India Rural</t>
  </si>
  <si>
    <t>India HUA</t>
  </si>
  <si>
    <t>China Rural</t>
  </si>
  <si>
    <t>China HUA</t>
  </si>
  <si>
    <t>Post-RIA Data</t>
  </si>
  <si>
    <t>ROW HUA</t>
  </si>
  <si>
    <t>Pre-RIA Unreserved Backlog</t>
  </si>
  <si>
    <t>NVC waitlist registered applicants</t>
  </si>
  <si>
    <t>China Unreserved</t>
  </si>
  <si>
    <t>FYI: Collection of post-RIA data with source links</t>
  </si>
  <si>
    <r>
      <t>F.  </t>
    </r>
    <r>
      <rPr>
        <u/>
        <sz val="11"/>
        <color theme="1"/>
        <rFont val="Aptos Narrow"/>
        <scheme val="minor"/>
      </rPr>
      <t>DELAY IN OVERSUBSCRIPTION OF THE VIETNAM EMPLOYMENT FIFTH PREFERENCE CATEGORY</t>
    </r>
    <r>
      <rPr>
        <sz val="11"/>
        <color theme="1"/>
        <rFont val="Aptos Narrow"/>
        <scheme val="minor"/>
      </rPr>
      <t>: Continued heavy applicant demand had been expected to result in the Vietnam Employment Fifth preference (EB-5) category reaching the per-country annual limit during March. However, the return of unused February EB-5 numbers during the past few days has been much higher than had been expected. This appears to be a direct result of the continuing resolution signed on December 22, 2017 extending the immigrant investor pilot program until January 19, 2018, and the subsequent extension until February 9, 2018.  Uncertainty over category extension greatly delayed the scheduling of February appointments, which would normally have occurred in early January.  As a result, many applicants did not have sufficient advance notice to enable them to appear for their February interview, which could have been expected to result in the use of visa numbers.  The oversubscription of this category will definitely occur for May.</t>
    </r>
  </si>
  <si>
    <r>
      <t>E.  </t>
    </r>
    <r>
      <rPr>
        <u/>
        <sz val="11"/>
        <color theme="1"/>
        <rFont val="Aptos Narrow"/>
        <scheme val="minor"/>
      </rPr>
      <t>VISA AVAILABILITY IN THE COMING MONTHS:</t>
    </r>
    <r>
      <rPr>
        <sz val="11"/>
        <color theme="1"/>
        <rFont val="Aptos Narrow"/>
        <scheme val="minor"/>
      </rPr>
      <t xml:space="preserve"> Continued heavy applicant demand is expected to result in the Vietnam Employment Fifth preference category reaching the per-country annual limit during March.  Once this happens the category will become subject to a final action date, and visa availability for the remainder of FY-2018 will be dependent upon the extent to which otherwise unused numbers are available. </t>
    </r>
  </si>
  <si>
    <r>
      <t>F.  VISA AVAILABILITY IN THE COMING MONTHS …. Employment Fifth</t>
    </r>
    <r>
      <rPr>
        <sz val="11"/>
        <color theme="1"/>
        <rFont val="Aptos Narrow"/>
        <family val="2"/>
        <scheme val="minor"/>
      </rPr>
      <t>: The category will remain “Current” for most countries.</t>
    </r>
    <r>
      <rPr>
        <u/>
        <sz val="11"/>
        <color theme="1"/>
        <rFont val="Aptos Narrow"/>
        <family val="2"/>
        <scheme val="minor"/>
      </rPr>
      <t xml:space="preserve"> China-mainland born:  Little if any forward movement. Vietnam:  Will become subject to a final action date no later than April.  The China-mainland born and Vietnam Employment Fifth preference dates would be the same. </t>
    </r>
  </si>
  <si>
    <t>Supply notes:</t>
  </si>
  <si>
    <t>VISA APPLICANTS with priority dates before April 1, 2022</t>
  </si>
  <si>
    <t>applicants</t>
  </si>
  <si>
    <t>investors only</t>
  </si>
  <si>
    <t>as of 10/2025</t>
  </si>
  <si>
    <t>as of 5/2024</t>
  </si>
  <si>
    <t>DEMAND</t>
  </si>
  <si>
    <t>Typical Annual EB-5 Visa Limits</t>
  </si>
  <si>
    <t>EB-5 Total</t>
  </si>
  <si>
    <t>Rural Set Aside</t>
  </si>
  <si>
    <t>High Unemployment Set Aside</t>
  </si>
  <si>
    <t>Infrastructure Set Aside</t>
  </si>
  <si>
    <t>China Minimum (country cap 7%)</t>
  </si>
  <si>
    <t>India Minimum (country cap 7%)</t>
  </si>
  <si>
    <t>China and India may receive visas above the 7% country cap if ROW does not claim its maximum visas</t>
  </si>
  <si>
    <t>Rest of World (ROW) Maximum (86%)</t>
  </si>
  <si>
    <t>Actual visas issued can be lower than the annual limit, due to lack of applicants or to government processing constraints</t>
  </si>
  <si>
    <t xml:space="preserve">When new set-aside visas are unused one year, they carry over in the same set aside category the next year </t>
  </si>
  <si>
    <t>When carried-over set-aside visas are unused for a second year, they carry to Unreserved for the 3rd year.</t>
  </si>
  <si>
    <t>EB-5 Visa Issuance 2022-2025</t>
  </si>
  <si>
    <t>In 2022-2025, set-aside visa issuance was limited by government processing constraints, while the available limit was expanded by rollover and carryover visas due to lack of usage in previous years.</t>
  </si>
  <si>
    <t>Total pipeline demand</t>
  </si>
  <si>
    <t>FY2022 (actual)</t>
  </si>
  <si>
    <t>FY2023 (actual)</t>
  </si>
  <si>
    <t>FY2024 (actual)</t>
  </si>
  <si>
    <t>FY2025 (estimate)</t>
  </si>
  <si>
    <t>(considering estimated family  &amp; denial/attrition--actual could be higher or lower)</t>
  </si>
  <si>
    <t>ROW Unreserved</t>
  </si>
  <si>
    <t>https://travel.state.gov/content/travel/en/legal/visa-law0/visa-statistics/</t>
  </si>
  <si>
    <t>China Visas Issued</t>
  </si>
  <si>
    <t>India visas issued</t>
  </si>
  <si>
    <t>FY2025 Reserved Visa Issuance</t>
  </si>
  <si>
    <t>Reserved Totals</t>
  </si>
  <si>
    <t>Rural  (RR, NR)</t>
  </si>
  <si>
    <t>High Unemployment (RH, NH)</t>
  </si>
  <si>
    <t>Source: Annual Report of the Visa Office</t>
  </si>
  <si>
    <t>Pre-RIA/Unreserved Reserved Visa Issuance</t>
  </si>
  <si>
    <t>Compare ROW applicants on NVC Wait List at FY start</t>
  </si>
  <si>
    <t>FY23 Visas Issued</t>
  </si>
  <si>
    <t>FY22 Visas Issued</t>
  </si>
  <si>
    <t>Estimated pre-RIA applicants recorded as of 5/2024 who don't have visas yet at FY2026 start</t>
  </si>
  <si>
    <t>Changed the Overview tab (aiming to better capture the impact of to-date visa issuance), added a new Forecast tab to replace the previous Rural, HUA, Scenario, and Unreserved tabs (aiming for a tidier presentation), added data to the Progress tab</t>
  </si>
  <si>
    <t>Actual annual visas can be slightly below or well above 10,000 depending on rollover from family-based in previous year, or carryover from unused Reserved EB-5</t>
  </si>
  <si>
    <t>Estimated visas issued in last 4 months of FY2024</t>
  </si>
  <si>
    <t>Estimated visas issued in FY2025</t>
  </si>
  <si>
    <r>
      <t xml:space="preserve">This workbook analyzes a volatile reality. The model is populated with assumptions that may not be realized, and it pieces together incomplete data. Despite the author's best efforts, there may be errors in formulas or reasoning. (Email suzanne@lucidtext.com if you identify any!) The model is subject to regular revision and updates, as the situation evolves and more information becomes available. The model is offered as a tool to help support your own analysis. </t>
    </r>
    <r>
      <rPr>
        <u/>
        <sz val="10"/>
        <color theme="1"/>
        <rFont val="Calibri"/>
        <family val="2"/>
      </rPr>
      <t>Do not rely on the model's default assumptions or conclusions a primary basis for decision-making</t>
    </r>
    <r>
      <rPr>
        <sz val="10"/>
        <color theme="1"/>
        <rFont val="Calibri"/>
        <family val="2"/>
      </rPr>
      <t xml:space="preserve">. This workbook was created and is maintained by Suzanne Lazicki of blog.lucidtext.com. </t>
    </r>
  </si>
  <si>
    <t>All Post-RIA Receipt and Approval Data</t>
  </si>
  <si>
    <t>USCIS publication</t>
  </si>
  <si>
    <t>2022-2025/7 monthly receipts</t>
  </si>
  <si>
    <t>2022-2025/7 monthly receipts, approvals, denials</t>
  </si>
  <si>
    <t>https://www.uscis.gov/tools/reports-and-studies/immigration-and-citizenship-data</t>
  </si>
  <si>
    <t xml:space="preserve">Petition Filing Date </t>
  </si>
  <si>
    <t>HUA Receipts</t>
  </si>
  <si>
    <t>HUA Adjudications by 8/2025</t>
  </si>
  <si>
    <t>% HUA Adjudicated by 8/2025</t>
  </si>
  <si>
    <t>Rural Receipts</t>
  </si>
  <si>
    <t>Rural Adjudications by 8/2025</t>
  </si>
  <si>
    <t>% Rural Adjudicated by 8/2025</t>
  </si>
  <si>
    <t>Apr-Jun 2022</t>
  </si>
  <si>
    <t>Jul-Sep 2022</t>
  </si>
  <si>
    <t>Oct-Dec 2022</t>
  </si>
  <si>
    <t>Jan-Mar 2023</t>
  </si>
  <si>
    <t>Apr-Jun 2023</t>
  </si>
  <si>
    <t>Jul-Sep 2023</t>
  </si>
  <si>
    <t>Oct-Dec 2023</t>
  </si>
  <si>
    <t>Jan-Mar 2024</t>
  </si>
  <si>
    <t>Apr-Jun 2024</t>
  </si>
  <si>
    <t>Jul-Sep 2024</t>
  </si>
  <si>
    <t>Oct-Dec 2024</t>
  </si>
  <si>
    <t>Jan-Mar 2025</t>
  </si>
  <si>
    <t>The Big Picture</t>
  </si>
  <si>
    <t>What's Known as of January 2026</t>
  </si>
  <si>
    <t>Unreserved visa demand</t>
  </si>
  <si>
    <t>Rural and High Unemployment visa demand</t>
  </si>
  <si>
    <t>I-526/I-526E receipts and approvals to July 2025</t>
  </si>
  <si>
    <t>Infrastructure visa demand</t>
  </si>
  <si>
    <t>anecdotal reports about projects (USCIS has reported no receipt or approval data)</t>
  </si>
  <si>
    <t>Past visa issuance through mid 2025</t>
  </si>
  <si>
    <t>Average future visa availability</t>
  </si>
  <si>
    <t>I-526/I-526E approval letters since 2022 list Unreserved as well as Reserved categories, NVC has published a process for consular applicants to select from the category options, and USCIS has not yet published a process for AOS to make the selection</t>
  </si>
  <si>
    <t>Major Questions as of January 2026</t>
  </si>
  <si>
    <t>Questions about demand</t>
  </si>
  <si>
    <t>Investors-to-future visas (Family size? Denials and attrition over time?)</t>
  </si>
  <si>
    <t>Questions about visa supply &amp; allocation</t>
  </si>
  <si>
    <t># set-aside visas issued to-date and before retrogression</t>
  </si>
  <si>
    <t>recent petition approval and visa issuance volumes</t>
  </si>
  <si>
    <t>when will Rural, HUA, and Infra retrogress?</t>
  </si>
  <si>
    <t>ROW investor volume</t>
  </si>
  <si>
    <t>ROW applicant option and willingness to choose Unreserved</t>
  </si>
  <si>
    <t>how unused visas set-asides shared between China/India above country caps</t>
  </si>
  <si>
    <t># Unreserved visas available to set-aside investors</t>
  </si>
  <si>
    <t>when will pre-2022 Unreserved backlogs be clear</t>
  </si>
  <si>
    <t>how will Unreserved visas be divided between Rural, HUA, infra</t>
  </si>
  <si>
    <t>whether a significant difference between consular and AOS ability to access Unreserved</t>
  </si>
  <si>
    <t>Orientation</t>
  </si>
  <si>
    <t>Summarize what's known and unknown related to EB-5 visa availability and timing</t>
  </si>
  <si>
    <t>FYI: Collection of data related to progress in issuing Reserved visas and advancing pipeline applicants to the visa stage</t>
  </si>
  <si>
    <t>Pending I-485 through October 2025, National Visa Center data as of May 2024</t>
  </si>
  <si>
    <t>SUPPLY DETAIL</t>
  </si>
  <si>
    <t>Key Assumption: Estimate average visa demand per investor</t>
  </si>
  <si>
    <t>Investor trend (How many more investors since last data report, in which categories?)</t>
  </si>
  <si>
    <t># set-aside visas potentially unused by Rest of World, available above country cap to China and India</t>
  </si>
  <si>
    <t>how much friction in the option for a set-aside investor to request an Unreserved visa</t>
  </si>
  <si>
    <t>I-526/I-526E Receipts and Adjudications for April 1, 2022 to July 31, 2025, by filing date and TEA</t>
  </si>
  <si>
    <t>I-526/I-526E Receipts, Approvals, and Denials April 1, 2022 to July 31, 2025, by TEA category</t>
  </si>
  <si>
    <t>High Unemployment Receipts</t>
  </si>
  <si>
    <t>https://goaiia.org/blog/aiia-foia-series-updated-i-526e-inventory-statistics-for-july-2025/#</t>
  </si>
  <si>
    <t>Apr-Jun 2025</t>
  </si>
  <si>
    <t>I-526/I-526E Receipts and Adjudications, April 1, 2022 to July 31, 2025, by Country and TEA</t>
  </si>
  <si>
    <t>Rural Approvals + Denials</t>
  </si>
  <si>
    <t>High Unemployment Approvals + Denials</t>
  </si>
  <si>
    <t>% HUA receipts adjudicated as of 7/31/2025</t>
  </si>
  <si>
    <t>% Rural receipts adjudicated as of 7/31/2025</t>
  </si>
  <si>
    <t>Updated Progress tab with approval/denial data by TEA and country through July 2025.</t>
  </si>
  <si>
    <t>In theory, set aside investors can qualify for a set-aside visa or an Unreserved visa.</t>
  </si>
  <si>
    <t>Forecast another date</t>
  </si>
  <si>
    <t>Compare Estimated Visa Demand with Typical Annual EB-5 Visa Limits</t>
  </si>
  <si>
    <t>Additions to the visa pipeline in the last reported six months</t>
  </si>
  <si>
    <t>Estimated visa demand from forecasted date above compared with base annual visas available</t>
  </si>
  <si>
    <t>whether a non-TEA investor would have priority for an Unreserved visa over a set-aside investor with an earlier priority date</t>
  </si>
  <si>
    <t>2022-2023</t>
  </si>
  <si>
    <t>FY2029 estimate</t>
  </si>
  <si>
    <t>FY2030 estimate</t>
  </si>
  <si>
    <t>Balance of pre-RIA applicants</t>
  </si>
  <si>
    <t>FY2031 estimate</t>
  </si>
  <si>
    <t>Estimated visa demand from forecasted data above</t>
  </si>
  <si>
    <t>Regional Center</t>
  </si>
  <si>
    <t>Project</t>
  </si>
  <si>
    <t>Categories</t>
  </si>
  <si>
    <t>I-956F approval status</t>
  </si>
  <si>
    <t>When fundraising</t>
  </si>
  <si>
    <t>EB-5 Investor Slots</t>
  </si>
  <si>
    <t>I-526E subscription status</t>
  </si>
  <si>
    <t>I-526E approvals?</t>
  </si>
  <si>
    <t>Link 1</t>
  </si>
  <si>
    <t>Link 2</t>
  </si>
  <si>
    <t>American Lending Center</t>
  </si>
  <si>
    <t>UAB Medical West Hospital</t>
  </si>
  <si>
    <t>infra only</t>
  </si>
  <si>
    <t>early 2025</t>
  </si>
  <si>
    <t>full</t>
  </si>
  <si>
    <t>https://usa-rc.com/press-release/american-lending-center-wins-certification-of-public-infrastructure-projects-for-visa-set-asides/</t>
  </si>
  <si>
    <t>https://usa-rc.com/portfolio/no-84-medical-west-hospital/</t>
  </si>
  <si>
    <t>Samaritan Hospital</t>
  </si>
  <si>
    <t>https://usa-rc.com/portfolio/no-97-samaritan-public-hospital/</t>
  </si>
  <si>
    <t>No. 98 Harrison Hospital Infrastructure</t>
  </si>
  <si>
    <t>https://www.businesswire.com/news/home/20241210605558/en/ALCs-Flexible-Financing-Approach-For-Rural-Hospital-Gets-Federal-Approval</t>
  </si>
  <si>
    <t>https://usa-rc.com/portfolio/no-98-harrison-county-community-hospital/</t>
  </si>
  <si>
    <t>Boston Regional Center</t>
  </si>
  <si>
    <t>infra &amp; HUA</t>
  </si>
  <si>
    <t>Behring</t>
  </si>
  <si>
    <t>Community Investment for Veterans’ Infrastructure and Care (“CIVIC”) Project</t>
  </si>
  <si>
    <t>late 2025</t>
  </si>
  <si>
    <t>7 as of 11/2025</t>
  </si>
  <si>
    <t>https://behringeb5.com/civic-eb5-project-956f-approved-infrastructure-designation/</t>
  </si>
  <si>
    <t>https://behringeb5.com/civic-i526e-approvals/</t>
  </si>
  <si>
    <t>EB5 Group</t>
  </si>
  <si>
    <t>Brainerd CBOC (MN)</t>
  </si>
  <si>
    <t>infra &amp; Rural</t>
  </si>
  <si>
    <t>https://www.eb5group.com/</t>
  </si>
  <si>
    <t>https://www.linkedin.com/posts/activity-7422356548976480256-ui9A?utm_source=share&amp;utm_medium=member_desktop&amp;rcm=ACoAAAWNJowBHB6o6iZGhL9Y9yDp6S82Tv_mNzg</t>
  </si>
  <si>
    <t>USIF</t>
  </si>
  <si>
    <t>Grand Central Rising</t>
  </si>
  <si>
    <t>pending</t>
  </si>
  <si>
    <t>https://visaeb-5.com/project/grand-central-rising/</t>
  </si>
  <si>
    <t>VA Outpatient Clinic, Round Rock</t>
  </si>
  <si>
    <t>early 2026</t>
  </si>
  <si>
    <t>CanAm</t>
  </si>
  <si>
    <t>Pacific Port Logistics Center, California</t>
  </si>
  <si>
    <t>to be filed</t>
  </si>
  <si>
    <t>Virginia Beach CBOC</t>
  </si>
  <si>
    <t>late 2026</t>
  </si>
  <si>
    <t>Salt Lake CBOC</t>
  </si>
  <si>
    <t>Estimated total by 2026 end</t>
  </si>
  <si>
    <t>EB5 United</t>
  </si>
  <si>
    <t>Texas Infrastructure Holdings, Uvalde</t>
  </si>
  <si>
    <t>HUA, Rural</t>
  </si>
  <si>
    <t>360 Broadband, TX</t>
  </si>
  <si>
    <t>Rural only</t>
  </si>
  <si>
    <t>Green Hydrogen Plant Infrastructure Expansion</t>
  </si>
  <si>
    <t>CMB</t>
  </si>
  <si>
    <t>Group 101</t>
  </si>
  <si>
    <t>https://goaiia.org/blog/aiia-foia-series-post-ria-data-july-2025/</t>
  </si>
  <si>
    <t>(min)</t>
  </si>
  <si>
    <t>(max)</t>
  </si>
  <si>
    <t>Normal Year</t>
  </si>
  <si>
    <t>Carryover Year</t>
  </si>
  <si>
    <t>Not Infrastructure projects</t>
  </si>
  <si>
    <t>Investors</t>
  </si>
  <si>
    <t>Estimated total by 2025 end</t>
  </si>
  <si>
    <t>Slots</t>
  </si>
  <si>
    <t>pending (filed 2/2026)</t>
  </si>
  <si>
    <t>Estimated total backlog as of May 2024 (estimated from data cited above, including assumptions about denials, attrition, and double counting)</t>
  </si>
  <si>
    <t>Data Sources</t>
  </si>
  <si>
    <t>https://www.uscis.gov/sites/default/files/document/data/eb_inventory_october_2025.xlsx</t>
  </si>
  <si>
    <t>Report of the Visa Office 2024, and monthly visa issuance data through May 2025</t>
  </si>
  <si>
    <t>Estimated total pre-RIA Unreserved Backlog, and Backlog Progress</t>
  </si>
  <si>
    <t>Data as of Date</t>
  </si>
  <si>
    <t>Available Data for Pre-RIA Unreserved Backlog (sources copied below)</t>
  </si>
  <si>
    <t>Estimated years from FY2026 to clear the Pre-RIA backlog</t>
  </si>
  <si>
    <t xml:space="preserve"> High Unemployment</t>
  </si>
  <si>
    <t>Infra-structure</t>
  </si>
  <si>
    <t>USCIS data for I-526/I-526E (AIIA FOIA)</t>
  </si>
  <si>
    <t>Total April 2022 to July 2025</t>
  </si>
  <si>
    <t>I-526/I-526E Receipts Apr-2022 to Jul-2025</t>
  </si>
  <si>
    <t>I-526/I-526E Approvals Apr-2022 to Jul-2025</t>
  </si>
  <si>
    <t>I-526/I-526E Denials Apr-2022 to Jul-2025</t>
  </si>
  <si>
    <t>Recent trend (previous reported 7 months)</t>
  </si>
  <si>
    <t>A.2⊂A</t>
  </si>
  <si>
    <t>I-526/I-526E Receipts Jan-2025 to Jul-2025</t>
  </si>
  <si>
    <t>B.2⊂B</t>
  </si>
  <si>
    <t>I-526/I-526E Approvals Jan-2025 to Jul-2025</t>
  </si>
  <si>
    <t>Estimated recent changes</t>
  </si>
  <si>
    <t>D≈A.2</t>
  </si>
  <si>
    <t>Estimated receipts Aug-25 to Feb-26</t>
  </si>
  <si>
    <t>E≈B.2</t>
  </si>
  <si>
    <t>Estimated approvals Aug-25 to Feb-26</t>
  </si>
  <si>
    <t>Estimated total I-526/I-526E (rounded)</t>
  </si>
  <si>
    <t>F=A+D</t>
  </si>
  <si>
    <t>Estimated total receipts by March 2026</t>
  </si>
  <si>
    <t>G=B+E</t>
  </si>
  <si>
    <t>Estimated total approvals by March 2026</t>
  </si>
  <si>
    <t>Estimated visa applicants up to March 2026</t>
  </si>
  <si>
    <t>H=(F-C)*2</t>
  </si>
  <si>
    <t>Pipeline visa applicants</t>
  </si>
  <si>
    <t>I=G*2</t>
  </si>
  <si>
    <t>Qualified visa applicants</t>
  </si>
  <si>
    <t>Estimated visa issuance</t>
  </si>
  <si>
    <t>J</t>
  </si>
  <si>
    <t>Estimated visas issued 2022 to Oct 2025</t>
  </si>
  <si>
    <t>K</t>
  </si>
  <si>
    <t>Estimated visas issued 2022 to Feb 2026</t>
  </si>
  <si>
    <t>Estimated status as of March 2026</t>
  </si>
  <si>
    <t>L=H-K</t>
  </si>
  <si>
    <r>
      <t xml:space="preserve">Est. </t>
    </r>
    <r>
      <rPr>
        <u/>
        <sz val="12"/>
        <color theme="1"/>
        <rFont val="Calibri"/>
        <family val="2"/>
      </rPr>
      <t>pipeline</t>
    </r>
    <r>
      <rPr>
        <sz val="12"/>
        <color theme="1"/>
        <rFont val="Calibri"/>
        <family val="2"/>
      </rPr>
      <t xml:space="preserve"> applicants without visas as of Mar 26</t>
    </r>
  </si>
  <si>
    <t>M=I-J</t>
  </si>
  <si>
    <t>Visa Supply</t>
  </si>
  <si>
    <t>N</t>
  </si>
  <si>
    <t>Average annual set-aside visas (7% min or 86% max)</t>
  </si>
  <si>
    <t>O</t>
  </si>
  <si>
    <t xml:space="preserve"> Estimated FY2026 visas</t>
  </si>
  <si>
    <t>Compare Demand with Supply</t>
  </si>
  <si>
    <t>P=L/N</t>
  </si>
  <si>
    <r>
      <t xml:space="preserve">Compare </t>
    </r>
    <r>
      <rPr>
        <u/>
        <sz val="12"/>
        <rFont val="Calibri"/>
        <family val="2"/>
      </rPr>
      <t>pipeline</t>
    </r>
    <r>
      <rPr>
        <sz val="12"/>
        <rFont val="Calibri"/>
        <family val="2"/>
      </rPr>
      <t xml:space="preserve"> applicants without visas with average annual visas</t>
    </r>
  </si>
  <si>
    <t>Q=M/O</t>
  </si>
  <si>
    <t>Visa Estimate Detail</t>
  </si>
  <si>
    <t>Actual visas issued FY22-FY24</t>
  </si>
  <si>
    <t>Estimated visas issued FY25</t>
  </si>
  <si>
    <t>Estmated visas issued FY26 to date (Oct-Feb)</t>
  </si>
  <si>
    <t>Esimated total visas issued before Oct 2025</t>
  </si>
  <si>
    <t>Esimated total visas issued before Mar 2026</t>
  </si>
  <si>
    <t xml:space="preserve"> (assuming even trend since last 2025 data report)</t>
  </si>
  <si>
    <t>(data from USCIS via AIIA FOIA)</t>
  </si>
  <si>
    <r>
      <t xml:space="preserve">Est. </t>
    </r>
    <r>
      <rPr>
        <u/>
        <sz val="12"/>
        <rFont val="Calibri"/>
        <family val="2"/>
      </rPr>
      <t>qualified</t>
    </r>
    <r>
      <rPr>
        <sz val="12"/>
        <rFont val="Calibri"/>
        <family val="2"/>
      </rPr>
      <t xml:space="preserve"> applicants without visas as of Oct 25</t>
    </r>
  </si>
  <si>
    <r>
      <t xml:space="preserve">Compare </t>
    </r>
    <r>
      <rPr>
        <u/>
        <sz val="12"/>
        <rFont val="Calibri"/>
        <family val="2"/>
      </rPr>
      <t>qualified</t>
    </r>
    <r>
      <rPr>
        <sz val="12"/>
        <rFont val="Calibri"/>
        <family val="2"/>
      </rPr>
      <t xml:space="preserve"> applicants with FY2026 visas</t>
    </r>
  </si>
  <si>
    <t>Visa estimate based on official data through 2024 and partial 2025 date -- see Progress tab for detail</t>
  </si>
  <si>
    <t>Compare Pre-RIA Unreserved Backlog</t>
  </si>
  <si>
    <r>
      <t xml:space="preserve">Estimated EB-5 </t>
    </r>
    <r>
      <rPr>
        <b/>
        <u/>
        <sz val="14"/>
        <color theme="0"/>
        <rFont val="Calibri"/>
        <family val="2"/>
      </rPr>
      <t>Set-Aside</t>
    </r>
    <r>
      <rPr>
        <b/>
        <sz val="14"/>
        <color theme="0"/>
        <rFont val="Calibri"/>
        <family val="2"/>
      </rPr>
      <t xml:space="preserve"> Visa Backlog Size and Progress as of March 2026</t>
    </r>
  </si>
  <si>
    <t>Chart Summary</t>
  </si>
  <si>
    <t>Applicants</t>
  </si>
  <si>
    <t>Annual Visas</t>
  </si>
  <si>
    <t>Est as of 3/2026</t>
  </si>
  <si>
    <r>
      <t xml:space="preserve">Est. </t>
    </r>
    <r>
      <rPr>
        <u/>
        <sz val="12"/>
        <color theme="1"/>
        <rFont val="Calibri"/>
        <family val="2"/>
      </rPr>
      <t>qualified</t>
    </r>
    <r>
      <rPr>
        <sz val="12"/>
        <color theme="1"/>
        <rFont val="Calibri"/>
        <family val="2"/>
      </rPr>
      <t xml:space="preserve"> applicants without visas as of Mar 26</t>
    </r>
  </si>
  <si>
    <t>Pre-RIA applicant pipeline estimate (Unreserved only) as of March 2026</t>
  </si>
  <si>
    <t>Post-RIA pipeline applicant estimate (mostly set-aside investors) as of March 2026</t>
  </si>
  <si>
    <t>Unreserved visa supply  (typical annual)</t>
  </si>
  <si>
    <t>Set-Aside visa supply (typical annual)</t>
  </si>
  <si>
    <t>Summary 1</t>
  </si>
  <si>
    <t>Infra</t>
  </si>
  <si>
    <t>A calculator for estimating pre-RIA legacy backlog status and progress</t>
  </si>
  <si>
    <t>FYI: A collection of research on Infrastructure demand</t>
  </si>
  <si>
    <t>https://blog.lucidtext.com/2026/03/05/eb-5-set-aside-visa-backlog-and-outlook-update-as-of-march-2026-set-aside-backlog-size-unreserved-visa-availability-infrastructure-visa-bulletin-outlook/</t>
  </si>
  <si>
    <t>Unreserved (Pre-RIA) visas issued</t>
  </si>
  <si>
    <t>New England Regional Center</t>
  </si>
  <si>
    <t>Yes</t>
  </si>
  <si>
    <t>Link 3</t>
  </si>
  <si>
    <t>Guess at 2025 Infrastructure Project distribution by country</t>
  </si>
  <si>
    <r>
      <t xml:space="preserve"> (Rural &amp; HUA guess based on previous 7 months; Infra </t>
    </r>
    <r>
      <rPr>
        <i/>
        <sz val="12"/>
        <color rgb="FFFF0000"/>
        <rFont val="Calibri"/>
        <family val="2"/>
      </rPr>
      <t>rough guess</t>
    </r>
    <r>
      <rPr>
        <i/>
        <sz val="12"/>
        <rFont val="Calibri"/>
        <family val="2"/>
      </rPr>
      <t xml:space="preserve"> from project info online)</t>
    </r>
  </si>
  <si>
    <t>Estimated total Unreserved FY2025</t>
  </si>
  <si>
    <t xml:space="preserve">   F.  VISA AVAILABILITY IN THE EMPLOYMENT-BASED FIFTH PREFERENCE (EB-5) UNRESERVED CATEGORY FOR CHINA
    In the April 2025 Visa Bulletin, the EB-5 Unreserved final action date for China was retrogressed due to high Rest of World demand.  In the months that followed, EB-5 number use has not materialized to the degree that was expected.  Consequently, and in accordance with INA 202(a)(5), the EB-5 Unreserved final action dates for China has advanced to allow continued EB-5 Unreserved number use.  Note that if at any time the EB-5 Unreserved annual limit were reached, it would be necessary to immediately make the preference category “unavailable”, and no further requests for numbers would be honored. 
    G.  VISA AVAILABILITY IN THE EMPLOYMENT-BASED FIFTH PREFERENCE (EB-5) UNRESERVED CATEGORY FOR INDIA
    In the April 2025 Visa Bulletin, the EB-5 Unreserved final action date for India was retrogressed due to high demand.  It is expected that India will have unused family sponsored preference numbers that, under INA 202(a)(2), can fall down for use in the employment-based categories, including EB-5 Unreserved.  As a result, the final action date for EB-5 Unreserved has been advanced to use these available numbers.  Note that if at any time the EB-5 Unreserved annual limit were reached, it would be necessary to immediately make the preference category “unavailable”, and no further requests for numbers would be honored. </t>
  </si>
  <si>
    <t>Boston Suffolk Downs Redevelopment Project (US National Infrastructure Development Fund 2, LLC)</t>
  </si>
  <si>
    <t>Infrastructure &amp; HUA</t>
  </si>
  <si>
    <t>2024-2025</t>
  </si>
  <si>
    <t>Full</t>
  </si>
  <si>
    <t>Boston Bunker Hill Public Housing Redevelopment (US National Infrastructure Development Fund 4, LLC)</t>
  </si>
  <si>
    <t>Infrastructure Only</t>
  </si>
  <si>
    <t>Sept-2025</t>
  </si>
  <si>
    <t>2025-2026</t>
  </si>
  <si>
    <t>Boston Bunker Hill Public Housing Redevelopment (US National Infrastructure Development Fund 5, LLC)</t>
  </si>
  <si>
    <r>
      <rPr>
        <u/>
        <sz val="10"/>
        <color indexed="8"/>
        <rFont val="Calibri"/>
        <family val="2"/>
      </rPr>
      <t>https://echelonseaport.com/</t>
    </r>
  </si>
  <si>
    <r>
      <rPr>
        <u/>
        <sz val="10"/>
        <color indexed="8"/>
        <rFont val="Calibri"/>
        <family val="2"/>
      </rPr>
      <t>https://www.eb5-project.com/bunkerhill</t>
    </r>
    <r>
      <rPr>
        <sz val="10"/>
        <color indexed="8"/>
        <rFont val="Calibri"/>
        <family val="2"/>
      </rPr>
      <t xml:space="preserve">
</t>
    </r>
  </si>
  <si>
    <r>
      <rPr>
        <u/>
        <sz val="10"/>
        <color indexed="8"/>
        <rFont val="Calibri"/>
        <family val="2"/>
      </rPr>
      <t>http://www.e-min.co.kr/iminnews2020-2.asp?mnu_code=001&amp;board_code=001&amp;b_serl=5609</t>
    </r>
  </si>
  <si>
    <r>
      <rPr>
        <u/>
        <sz val="10"/>
        <color indexed="8"/>
        <rFont val="Calibri"/>
        <family val="2"/>
      </rPr>
      <t>https://mp.weixin.qq.com/s/rJpO_SZq9p3CAfj9eB_rHA</t>
    </r>
  </si>
  <si>
    <r>
      <rPr>
        <u/>
        <sz val="10"/>
        <color indexed="8"/>
        <rFont val="Calibri"/>
        <family val="2"/>
      </rPr>
      <t>https://www.eb5-project.com/bunkerhill2</t>
    </r>
  </si>
  <si>
    <t>guess at slots filled by 2/2026</t>
  </si>
  <si>
    <t>(this is a total guess -- replace with your best guess!)</t>
  </si>
  <si>
    <r>
      <t xml:space="preserve">Infrastructure demand guess for 2025 from Internet search -- see Infra tab for detail. </t>
    </r>
    <r>
      <rPr>
        <sz val="12"/>
        <color rgb="FFFF0000"/>
        <rFont val="Calibri"/>
        <family val="2"/>
      </rPr>
      <t>Note that the division by country is a guess -- welcome to replace with your guesses.</t>
    </r>
  </si>
  <si>
    <t>I-526/I-526E data to July 2025 from USCIS via FOIA requests by AIIA https://goaiia.org/blog/aiia-foia-series-updated-i-526e-inventory-statistics-for-july-2025/#</t>
  </si>
  <si>
    <t>http://www.e-min.co.kr/iminnews2020-2.asp?mnu_code=001&amp;board_code=001&amp;b_serl=5631</t>
  </si>
  <si>
    <t>https://www.eb5-project.com/sfdowns</t>
  </si>
  <si>
    <t>https://www.sec.gov/Archives/edgar/data/2043439/000168316824007960/xslFormDX01/primary_doc.xml</t>
  </si>
  <si>
    <t>Estimated total applicants without visas yet as of March 2026, Pre-RIA and Post-RIA</t>
  </si>
  <si>
    <t>https://blog.lucidtext.com/eb-5-timing/</t>
  </si>
  <si>
    <t xml:space="preserve">D.  VISA AVAILABILITY - CHINA-mainland born: Employment Fifth Preference: Item D of the February Visa Bulletin advised readers that the expected increase in demand would require the establishment of a cut-off date during the summer to hold number use within the annual numerical limit. The establishment of that date can be expected no later than June. </t>
  </si>
  <si>
    <t xml:space="preserve">Employment Fifth: Current - for most countries. The expected increase in
                            China-mainland born demand would require the
                            establishment of a cut-off date for such applicants
                            no later than the summer months. 
                            The category will remain "Current" for all other countries
                            for the foreseeable future. </t>
  </si>
  <si>
    <t>Employment Fifth:  The category will remain “Current” for most countries.
China-mainland born:  Up to one week. 
Vietnam:  Up to three weeks.
The above final action date projections for the Family and Employment categories indicate what is likely to happen on a monthly basis through May.  The determination of the actual monthly final action dates is subject to fluctuations in applicant demand and a number of other variables. It is also important to remember that by no means has every applicant with a priority date earlier than a prevailing final action date been processed for final visa action, with applicants often processing at their own initiative and convenience.</t>
  </si>
  <si>
    <t xml:space="preserve">E.  EMPLOYMENT-BASED FIFTH PREFERENCE VISA AVAILABILITY
India:  Continued heavy applicant demand is expected to result in the India Employment Fifth preference (E5) category approaching the per-country annual limit during July.  This is likely to result in the imposition of a July final action date, and that date will be sometime in 2017.  Then for August, India will become subject to the same final action date which applies to China-mainland born Employment Fifth preference applicants for the remainder of the fiscal year.
Such action will only be temporary with the E5 date for India most likely advancing to the summer or fall of 2017 for October, the first month of fiscal year 2020.
 </t>
  </si>
  <si>
    <t xml:space="preserve">D.  AVAILABILITY OF EMPLOYMENT-BASED VISAS DURING SEPTEMBER
There has been a steady increase in both USCIS and Department of State demand patterns for employment-based visas during the fiscal year. As a result, most employment-based preference category limits and/or the overall employment-based preference limit for FY 2022 are expected to be reached during September. If at any time an annual limit were reached, it would be necessary to immediately make the preference category “unavailable”, and no further requests for numbers would be honored. </t>
  </si>
  <si>
    <t xml:space="preserve"> E.  RETROGRESSION OF CHINA-MAINLAND BORN FINAL ACTION DATE AND IMPOSITION OF INDIA FINAL ACTION DATE IN THE EMPLOYMENT-BASED FIFTH PREFERENCE UNRESERVED CATEGORIES (INCLUDING C5, T5, I5, AND R5) 
It was necessary to retrogress the final action date for the China-mainland born Employment-Based Fifth Preference unreserved categories due to heavy demand for numbers, primarily for visa issuances abroad.  In addition, sufficient India demand has materialized in the Employment-Based Fifth Preference unreserved categories to require the imposition of a final action date for October. Heavy China-mainland born and India demand along with lower visa number availability for FY-2023 as compared to FY-2021 and FY-2022 has made these corrective actions necessary to keep number use within the maximum allowed under the FY-2023 annual limits.  The situation will be continually monitored, and any necessary adjustments made accordingly.</t>
  </si>
  <si>
    <t>Content</t>
  </si>
  <si>
    <t>Summary of Post-RIA Data in USCIS Reports</t>
  </si>
  <si>
    <t>Form I-526, Immigrant Petition by Standalone Investor and Form I-526E, Immigrant Petition by Regional Center Investor (Fiscal Year 2025, Quarter 4) (XLSX, 38.12 KB)</t>
  </si>
  <si>
    <t>Form</t>
  </si>
  <si>
    <t>TEA</t>
  </si>
  <si>
    <t>All ROW</t>
  </si>
  <si>
    <t>ROW except SK, T, V</t>
  </si>
  <si>
    <t>2025 Q4 Jul - Sep 2025</t>
  </si>
  <si>
    <t>Row Labels</t>
  </si>
  <si>
    <t>Sum of China</t>
  </si>
  <si>
    <t>Sum of India</t>
  </si>
  <si>
    <t>Sum of All ROW</t>
  </si>
  <si>
    <t>(All)</t>
  </si>
  <si>
    <t>AOS (Oct-Dec</t>
  </si>
  <si>
    <t>FY2026 Visas Issued to Date (est.)</t>
  </si>
  <si>
    <t>Consular (Oct-Sep)</t>
  </si>
  <si>
    <t>Period-end Net Backlog</t>
  </si>
  <si>
    <t>Number of Form I-526 Approved Petitions Awaiting Visa Availability</t>
  </si>
  <si>
    <t>Approved I-526 awaiting visa availability*</t>
  </si>
  <si>
    <t>*Approved I-526 with priority dates more recent than the Visa Bulletin Final Action Date</t>
  </si>
  <si>
    <t>"Number of Form I-140, I-360, I-526/E Approved Employment-Based Petitions Awaiting Visa Availability"</t>
  </si>
  <si>
    <t>Number of Form I-140, I-360, I-526/E Approved Employment-Based Petitions Awaiting Visa Availability</t>
  </si>
  <si>
    <t xml:space="preserve">From the quarterly USCIS reports: </t>
  </si>
  <si>
    <t>Table by blog.lucidtext.com</t>
  </si>
  <si>
    <t>Composition of the I-526/I-526E pending inventory in July 2025, by number of months that the petitions had been pending</t>
  </si>
  <si>
    <t>Number of months that petitions had been pending so far to date as of July 2025</t>
  </si>
  <si>
    <t>Number of Petitions</t>
  </si>
  <si>
    <t>Rural I-526/I-526E</t>
  </si>
  <si>
    <t>High Unemployment  I-526/I-526E</t>
  </si>
  <si>
    <t>0-6 months</t>
  </si>
  <si>
    <t>6-12 months</t>
  </si>
  <si>
    <t>12-18 months</t>
  </si>
  <si>
    <t>18-24 months</t>
  </si>
  <si>
    <t>24-30 months</t>
  </si>
  <si>
    <t>30-36 months</t>
  </si>
  <si>
    <t>36-42 months</t>
  </si>
  <si>
    <t>All I-526/I-526E</t>
  </si>
  <si>
    <t>Estimated visas issued FY2026 (optimistic assuming carryover and rollover from unused FB)</t>
  </si>
  <si>
    <t>Estimated visas issued FY2027  (optimistic assuming carryover and rollover from unused FB)</t>
  </si>
  <si>
    <t>China Pre-RIA Unreserved</t>
  </si>
  <si>
    <t>India Pre-RIA Unreserved</t>
  </si>
  <si>
    <t>ROW Pre-RIA Unreserved</t>
  </si>
  <si>
    <t>Post-RIA Unreserved</t>
  </si>
  <si>
    <t>FY2028 estimate  (optimistic assuming rollover from unused FB)</t>
  </si>
  <si>
    <t>Note that the estimate for I-526/I-526E filings and approvals since the last reported data is a guess -- welcome to replace with your guesses.</t>
  </si>
  <si>
    <t>EB-5 Visa Supply Projection 1 -- Scenario with significant FB rollover usage</t>
  </si>
  <si>
    <t>EB-5 Visa Supply Projection 2 -- scenario with minimal FB rollover</t>
  </si>
  <si>
    <t>Scenario with large FB rollover</t>
  </si>
  <si>
    <t>Total pipeline</t>
  </si>
  <si>
    <r>
      <t xml:space="preserve">Refrence total on Supply tab Scenario 1 </t>
    </r>
    <r>
      <rPr>
        <i/>
        <sz val="8"/>
        <color rgb="FFFF0000"/>
        <rFont val="Calibri"/>
        <family val="2"/>
      </rPr>
      <t>assuming large FB rollovers from visa blocks</t>
    </r>
  </si>
  <si>
    <t>Refrence total on Supply tab Scenario 2 (minimal extra EB visas)</t>
  </si>
  <si>
    <t>ESTIMATE (see the Unreserved page for calculation)</t>
  </si>
  <si>
    <t>Years</t>
  </si>
  <si>
    <t>Data source: USCIS via FOIA request by AIIA</t>
  </si>
  <si>
    <t>If you'd like Suzanne to talk through analysis and data relevant to your specific questions, you're welcome to schedule a consultation using the meeting link below.</t>
  </si>
  <si>
    <t>Email suzanne@lucidtext.com with any corrections or suggestions to improve this model.</t>
  </si>
  <si>
    <t>(if with extra rollover visas)</t>
  </si>
  <si>
    <t>https://behringeb5.com/uscis-approves-i956f-amendment-civic-1950-franklin/</t>
  </si>
  <si>
    <t>CIVIC amendment</t>
  </si>
  <si>
    <t>Estimated unaccomodated (less reserved visas issued 2022-2025)</t>
  </si>
  <si>
    <t>Total 2022-2025</t>
  </si>
  <si>
    <t>Total EB-5</t>
  </si>
  <si>
    <t>Set-Aside Total</t>
  </si>
  <si>
    <t>Rough China Time estimate</t>
  </si>
  <si>
    <t>Pre-RIA only</t>
  </si>
  <si>
    <t>Est visas not used by ROW</t>
  </si>
  <si>
    <t>H.  VISA AVAILABILITY IN THE EMPLOYMENT-BASED FIFTH PREFERENCE (EB-5) UNRESERVED CATEGORY FOR INDIA
Sufficient demand and increased number use by aliens chargeable to India in the EB-5 unreserved visa categories may make it necessary to retrogress the final action date or make the category “unavailable” in the next month to hold number use within the maximum allowed under the FY 2026 annual limit.  This situation will be continually monitored, and any necessary adjustments will be made accordingly.</t>
  </si>
  <si>
    <t>TIMING ESTIMATE ASSUMES THAT AVAILABLE VISAS ARE ACTUALLY ISSUED -- which may not happen if the Trump admin is successful!</t>
  </si>
  <si>
    <t>Total Base Annual EB-5 Visas (rounded)</t>
  </si>
  <si>
    <t>Guess monthly demand compared previous 9 months average</t>
  </si>
  <si>
    <t>Est Visas Issued to date</t>
  </si>
  <si>
    <t>Total Visa Demand to Date</t>
  </si>
  <si>
    <t>Unaccommodated demand</t>
  </si>
  <si>
    <t xml:space="preserve">Infrastructure Projects </t>
  </si>
  <si>
    <t>% Supply</t>
  </si>
  <si>
    <t>Country cap supply</t>
  </si>
  <si>
    <t>2026 Q1 Oct - Dec 2025</t>
  </si>
  <si>
    <t>Form I-526, Immigrant Petition by Standalone Investor and Form I-526E, Immigrant Petition by Regional Center Investor (Fiscal Year 2026, Quarter 1) (XLSX, 30.01 KB)</t>
  </si>
  <si>
    <t>% Total</t>
  </si>
  <si>
    <t>Estimated visa demand from investors with priority dates 4/1/2022-12/31/2025 compared with base annual visas available</t>
  </si>
  <si>
    <t>Updated with USCIS data through December 2025.</t>
  </si>
  <si>
    <t>Fiscal Year</t>
  </si>
  <si>
    <t>India % Demand</t>
  </si>
  <si>
    <t>China % Demand</t>
  </si>
  <si>
    <t>Rough India Time estimate -- optimistic IF available EB visas issued)</t>
  </si>
  <si>
    <t>U</t>
  </si>
  <si>
    <t>Investment</t>
  </si>
  <si>
    <t>Infrastructure I-526E filed through 12/31/2025</t>
  </si>
  <si>
    <t>Infrastructure demand reported by USCIS</t>
  </si>
  <si>
    <t>0 reported</t>
  </si>
  <si>
    <t>Infrastructure I-485 pending as of 4/3/2026</t>
  </si>
  <si>
    <t>&lt; 40</t>
  </si>
  <si>
    <t>&lt;190</t>
  </si>
  <si>
    <t>&lt; 80</t>
  </si>
  <si>
    <t>&lt;310</t>
  </si>
  <si>
    <t>Pending Application for Employment-Based Preference Categories for Rest of the World (Priority Date Years 2017 - 2026)</t>
  </si>
  <si>
    <t>As of April 3, 2026</t>
  </si>
  <si>
    <t>August</t>
  </si>
  <si>
    <t>Priority Date Year - 2026</t>
  </si>
  <si>
    <t>Visa Pipeline</t>
  </si>
  <si>
    <t>Unaccommodated as of 2026</t>
  </si>
  <si>
    <t>https://calendly.com/suzanne-lucid</t>
  </si>
  <si>
    <t>Base EB Limit</t>
  </si>
  <si>
    <t>EB-5 Visa Issuance History -- Unreserved</t>
  </si>
  <si>
    <t>REFERENCE: Approximate I-485 pending as of 4/3/2026</t>
  </si>
  <si>
    <t>Fixed a formula error on the Summary 1 tab L38 and M38</t>
  </si>
  <si>
    <t>Form I-526, Immigrant Petition by Standalone Investor and Form I-526E, Immigrant Petition by Regional Center Investor (Fiscal Year 2026, Quarter 2) (XLSX, 30.44 KB)</t>
  </si>
  <si>
    <t>Total I-526/I-526E filings April 1, 2022 to March 31, 2026</t>
  </si>
  <si>
    <t>I-526/I-526E filings October 2025-March 2026 (6 months)</t>
  </si>
  <si>
    <t>Actual INVESTORS with priority dates between April 1, 2022 and March 31, 2026</t>
  </si>
  <si>
    <t>Months since 3/31/2026</t>
  </si>
  <si>
    <t>Estimated visa demand from documented investors with priority dates 4/1/2022-3/31/2026</t>
  </si>
  <si>
    <t>Estimated PIPELINE VISA APPLICANTS with priority dates between April 1, 2022 and March 31, 2026</t>
  </si>
  <si>
    <t>Data Source: Immigration and Citizenship Data page at uscis.gov</t>
  </si>
  <si>
    <t>Updated with USCIS data through March 2026.</t>
  </si>
  <si>
    <t>One way of looking at the supply/demand balance for EB-5 set-aside visas (starting from data through March 2026, and including a priority date estimator)</t>
  </si>
  <si>
    <t>2026 Q2 Jan - Mar 2026</t>
  </si>
  <si>
    <t>Current report -- I-526/I-526E Receipts in Jan 2026 to Mar 2026</t>
  </si>
  <si>
    <t>Previous Quarter -- I-526/I-526E Receipts in Oct 2025 to Dec 2025</t>
  </si>
  <si>
    <t>Total -- I-526/I-526E Receipts April 2022 to Mar 2026</t>
  </si>
  <si>
    <t>Table summary by: blog.lucidtext.com</t>
  </si>
  <si>
    <t>note to check: I-956F NOID?</t>
  </si>
  <si>
    <t>(from Internet research and personal communication as of February 2026-- email suzanne@lucidtext.com with any updates and additions)</t>
  </si>
  <si>
    <t>The typical annual EB-5 visa allocation follows from the base annual 140,000 EB visas. The actual EB limit can be higher due to rollover of FB visas unused in the previous year.</t>
  </si>
  <si>
    <t>I-526/I-526E Approved</t>
  </si>
  <si>
    <t>I-526/I-526E Denied</t>
  </si>
  <si>
    <t>H</t>
  </si>
  <si>
    <t>I-956F Approved</t>
  </si>
  <si>
    <t xml:space="preserve"> I-526/I-526E Filed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</si>
</sst>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0_);_(* \(#,##0\);_(* &quot;-&quot;_);_(@_)"/>
    <numFmt numFmtId="43" formatCode="_(* #,##0.00_);_(* \(#,##0.00\);_(* &quot;-&quot;??_);_(@_)"/>
    <numFmt numFmtId="164" formatCode="_(* #,##0_);_(* \(#,##0\);_(* &quot;-&quot;??_);_(@_)"/>
    <numFmt numFmtId="165" formatCode="0.0"/>
    <numFmt numFmtId="166" formatCode="[$-409]mmmm\-yy;@"/>
    <numFmt numFmtId="167" formatCode="0_);[Red]\(0\)"/>
    <numFmt numFmtId="168" formatCode="0\ &quot;years&quot;"/>
    <numFmt numFmtId="169" formatCode="0%\ &quot;of total (China/India min)&quot;"/>
    <numFmt numFmtId="170" formatCode="0%\ &quot;of total (ROW max)&quot;"/>
    <numFmt numFmtId="171" formatCode="0&quot;x&quot;"/>
    <numFmt numFmtId="172" formatCode="&quot;&lt;&quot;\ 0"/>
    <numFmt numFmtId="173" formatCode="0.0%"/>
    <numFmt numFmtId="174" formatCode="_(* #,##0.000_);_(* \(#,##0.000\);_(* &quot;-&quot;??_);_(@_)"/>
    <numFmt numFmtId="175" formatCode="[$-409]mmm\-yy;@"/>
    <numFmt numFmtId="176" formatCode="_(* #,##0_);_(* \(#,##0\);_(* &quot;-&quot;?_);_(@_)"/>
    <numFmt numFmtId="177" formatCode="_(* #,##0.0_);_(* \(#,##0.0\);_(* &quot;-&quot;??_);_(@_)"/>
    <numFmt numFmtId="178" formatCode="&quot;$&quot;#,##0"/>
    <numFmt numFmtId="179" formatCode="0\ &quot;x&quot;"/>
    <numFmt numFmtId="180" formatCode="0\x"/>
    <numFmt numFmtId="181" formatCode="0.0\ &quot;x&quot;"/>
    <numFmt numFmtId="182" formatCode="\&lt;0"/>
  </numFmts>
  <fonts count="186">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0"/>
      <color theme="1"/>
      <name val="Calibri"/>
      <family val="2"/>
    </font>
    <font>
      <sz val="10"/>
      <color theme="1"/>
      <name val="Calibri"/>
      <family val="2"/>
    </font>
    <font>
      <sz val="11"/>
      <color theme="1"/>
      <name val="Aptos Narrow"/>
      <family val="2"/>
      <scheme val="minor"/>
    </font>
    <font>
      <b/>
      <sz val="11"/>
      <color theme="1"/>
      <name val="Aptos Narrow"/>
      <scheme val="minor"/>
    </font>
    <font>
      <sz val="11"/>
      <color theme="1"/>
      <name val="Aptos Narrow"/>
      <scheme val="minor"/>
    </font>
    <font>
      <u val="singleAccounting"/>
      <sz val="11"/>
      <color theme="1"/>
      <name val="Aptos Narrow"/>
      <family val="2"/>
      <scheme val="minor"/>
    </font>
    <font>
      <b/>
      <sz val="11"/>
      <color theme="1"/>
      <name val="Aptos Narrow"/>
      <family val="2"/>
      <scheme val="minor"/>
    </font>
    <font>
      <sz val="11"/>
      <name val="Aptos Narrow"/>
      <family val="2"/>
      <scheme val="minor"/>
    </font>
    <font>
      <u/>
      <sz val="11"/>
      <color theme="10"/>
      <name val="Aptos Narrow"/>
      <family val="2"/>
      <scheme val="minor"/>
    </font>
    <font>
      <sz val="9"/>
      <color theme="1"/>
      <name val="Aptos Narrow"/>
      <family val="2"/>
      <scheme val="minor"/>
    </font>
    <font>
      <sz val="11"/>
      <color theme="1" tint="0.34998626667073579"/>
      <name val="Aptos Narrow"/>
      <family val="2"/>
      <scheme val="minor"/>
    </font>
    <font>
      <sz val="8"/>
      <name val="Aptos Narrow"/>
      <family val="2"/>
      <scheme val="minor"/>
    </font>
    <font>
      <sz val="9"/>
      <name val="Aptos Narrow"/>
      <scheme val="minor"/>
    </font>
    <font>
      <b/>
      <sz val="9"/>
      <color theme="1"/>
      <name val="Aptos Narrow"/>
      <scheme val="minor"/>
    </font>
    <font>
      <b/>
      <sz val="9"/>
      <color theme="1"/>
      <name val="Aptos Narrow"/>
      <family val="2"/>
      <scheme val="minor"/>
    </font>
    <font>
      <b/>
      <sz val="11"/>
      <color theme="0"/>
      <name val="Aptos Narrow"/>
      <scheme val="minor"/>
    </font>
    <font>
      <sz val="9"/>
      <color theme="1"/>
      <name val="Aptos Narrow"/>
      <scheme val="minor"/>
    </font>
    <font>
      <i/>
      <sz val="9"/>
      <color theme="1"/>
      <name val="Aptos Narrow"/>
      <scheme val="minor"/>
    </font>
    <font>
      <sz val="11"/>
      <color theme="4"/>
      <name val="Aptos Narrow"/>
      <family val="2"/>
      <scheme val="minor"/>
    </font>
    <font>
      <sz val="10"/>
      <color theme="1"/>
      <name val="Aptos Narrow"/>
      <family val="2"/>
      <scheme val="minor"/>
    </font>
    <font>
      <sz val="10"/>
      <color rgb="FF3F3F76"/>
      <name val="Calibri"/>
      <family val="2"/>
    </font>
    <font>
      <b/>
      <sz val="20"/>
      <color theme="1"/>
      <name val="Aptos Narrow"/>
      <family val="2"/>
      <scheme val="minor"/>
    </font>
    <font>
      <sz val="8"/>
      <color theme="1"/>
      <name val="Aptos Narrow"/>
      <family val="2"/>
      <scheme val="minor"/>
    </font>
    <font>
      <sz val="9"/>
      <name val="Aptos Narrow"/>
      <family val="2"/>
      <scheme val="minor"/>
    </font>
    <font>
      <i/>
      <sz val="8"/>
      <color theme="1"/>
      <name val="Aptos Narrow"/>
      <family val="2"/>
      <scheme val="minor"/>
    </font>
    <font>
      <b/>
      <sz val="8"/>
      <color theme="1"/>
      <name val="Aptos Narrow"/>
      <family val="2"/>
      <scheme val="minor"/>
    </font>
    <font>
      <b/>
      <sz val="8"/>
      <color theme="9" tint="-0.249977111117893"/>
      <name val="Aptos Narrow"/>
      <family val="2"/>
      <scheme val="minor"/>
    </font>
    <font>
      <sz val="9"/>
      <color theme="0" tint="-0.249977111117893"/>
      <name val="Aptos Narrow"/>
      <family val="2"/>
      <scheme val="minor"/>
    </font>
    <font>
      <u/>
      <sz val="8"/>
      <color theme="10"/>
      <name val="Aptos Narrow"/>
      <family val="2"/>
      <scheme val="minor"/>
    </font>
    <font>
      <b/>
      <sz val="10"/>
      <color theme="1"/>
      <name val="Aptos Narrow"/>
      <family val="2"/>
      <scheme val="minor"/>
    </font>
    <font>
      <u val="singleAccounting"/>
      <sz val="8"/>
      <color theme="1"/>
      <name val="Aptos Narrow"/>
      <family val="2"/>
      <scheme val="minor"/>
    </font>
    <font>
      <b/>
      <sz val="8"/>
      <color rgb="FFFF0000"/>
      <name val="Aptos Narrow"/>
      <family val="2"/>
      <scheme val="minor"/>
    </font>
    <font>
      <b/>
      <sz val="8"/>
      <color theme="1"/>
      <name val="Aptos Narrow"/>
      <scheme val="minor"/>
    </font>
    <font>
      <b/>
      <sz val="8"/>
      <name val="Aptos Narrow"/>
      <scheme val="minor"/>
    </font>
    <font>
      <b/>
      <i/>
      <sz val="8"/>
      <color theme="1"/>
      <name val="Aptos Narrow"/>
      <scheme val="minor"/>
    </font>
    <font>
      <u val="singleAccounting"/>
      <sz val="9"/>
      <color theme="1"/>
      <name val="Aptos Narrow"/>
      <scheme val="minor"/>
    </font>
    <font>
      <sz val="9"/>
      <color rgb="FF3F3F76"/>
      <name val="Aptos Narrow"/>
      <scheme val="minor"/>
    </font>
    <font>
      <b/>
      <u/>
      <sz val="8"/>
      <name val="Aptos Narrow"/>
      <scheme val="minor"/>
    </font>
    <font>
      <sz val="9"/>
      <color rgb="FF0070C0"/>
      <name val="Aptos Narrow"/>
      <family val="2"/>
      <scheme val="minor"/>
    </font>
    <font>
      <sz val="9"/>
      <color rgb="FF0070C0"/>
      <name val="Aptos Narrow"/>
      <scheme val="minor"/>
    </font>
    <font>
      <u/>
      <sz val="11"/>
      <color theme="10"/>
      <name val="Aptos Narrow"/>
      <scheme val="minor"/>
    </font>
    <font>
      <sz val="11"/>
      <color theme="0"/>
      <name val="Aptos Narrow"/>
      <family val="2"/>
      <scheme val="minor"/>
    </font>
    <font>
      <u/>
      <sz val="9"/>
      <color theme="1"/>
      <name val="Aptos Narrow"/>
      <scheme val="minor"/>
    </font>
    <font>
      <u/>
      <sz val="9"/>
      <color theme="10"/>
      <name val="Aptos Narrow"/>
      <family val="2"/>
      <scheme val="minor"/>
    </font>
    <font>
      <sz val="9"/>
      <color theme="1"/>
      <name val="Calibri"/>
      <family val="2"/>
    </font>
    <font>
      <b/>
      <sz val="18"/>
      <color theme="1"/>
      <name val="Aptos Narrow"/>
      <family val="2"/>
      <scheme val="minor"/>
    </font>
    <font>
      <b/>
      <sz val="9"/>
      <name val="Aptos Narrow"/>
      <family val="2"/>
      <scheme val="minor"/>
    </font>
    <font>
      <i/>
      <sz val="9"/>
      <color theme="1"/>
      <name val="Aptos Narrow"/>
      <family val="2"/>
      <scheme val="minor"/>
    </font>
    <font>
      <b/>
      <sz val="12"/>
      <color theme="1"/>
      <name val="Aptos Narrow"/>
      <family val="2"/>
      <scheme val="minor"/>
    </font>
    <font>
      <b/>
      <sz val="11"/>
      <name val="Aptos Narrow"/>
      <family val="2"/>
      <scheme val="minor"/>
    </font>
    <font>
      <b/>
      <sz val="11"/>
      <color theme="5" tint="-0.249977111117893"/>
      <name val="Aptos Narrow"/>
      <family val="2"/>
      <scheme val="minor"/>
    </font>
    <font>
      <u/>
      <sz val="11"/>
      <color theme="1"/>
      <name val="Aptos Narrow"/>
      <family val="2"/>
      <scheme val="minor"/>
    </font>
    <font>
      <sz val="11"/>
      <color theme="9" tint="-0.249977111117893"/>
      <name val="Aptos Narrow"/>
      <family val="2"/>
      <scheme val="minor"/>
    </font>
    <font>
      <i/>
      <sz val="8"/>
      <color theme="9" tint="-0.249977111117893"/>
      <name val="Aptos Narrow"/>
      <family val="2"/>
      <scheme val="minor"/>
    </font>
    <font>
      <sz val="9"/>
      <color rgb="FF00B0F0"/>
      <name val="Aptos Narrow"/>
      <family val="2"/>
      <scheme val="minor"/>
    </font>
    <font>
      <sz val="9"/>
      <color theme="5"/>
      <name val="Aptos Narrow"/>
      <family val="2"/>
      <scheme val="minor"/>
    </font>
    <font>
      <b/>
      <sz val="11"/>
      <color rgb="FFFA7D00"/>
      <name val="Aptos Narrow"/>
      <family val="2"/>
      <scheme val="minor"/>
    </font>
    <font>
      <b/>
      <sz val="9"/>
      <color rgb="FFFA7D00"/>
      <name val="Aptos Narrow"/>
      <family val="2"/>
      <scheme val="minor"/>
    </font>
    <font>
      <sz val="9"/>
      <color theme="4" tint="0.39997558519241921"/>
      <name val="Aptos Narrow"/>
      <family val="2"/>
      <scheme val="minor"/>
    </font>
    <font>
      <sz val="8"/>
      <color theme="0" tint="-0.249977111117893"/>
      <name val="Aptos Narrow"/>
      <family val="2"/>
      <scheme val="minor"/>
    </font>
    <font>
      <sz val="11"/>
      <color theme="9"/>
      <name val="Aptos Narrow"/>
      <family val="2"/>
      <scheme val="minor"/>
    </font>
    <font>
      <sz val="11"/>
      <color theme="7" tint="-0.249977111117893"/>
      <name val="Aptos Narrow"/>
      <family val="2"/>
      <scheme val="minor"/>
    </font>
    <font>
      <sz val="11"/>
      <color theme="5" tint="0.39997558519241921"/>
      <name val="Aptos Narrow"/>
      <family val="2"/>
      <scheme val="minor"/>
    </font>
    <font>
      <sz val="11"/>
      <color theme="8" tint="0.59999389629810485"/>
      <name val="Aptos Narrow"/>
      <family val="2"/>
      <scheme val="minor"/>
    </font>
    <font>
      <sz val="10"/>
      <color theme="3" tint="0.249977111117893"/>
      <name val="Calibri"/>
      <family val="2"/>
    </font>
    <font>
      <b/>
      <sz val="10"/>
      <color theme="5"/>
      <name val="Calibri"/>
      <family val="2"/>
    </font>
    <font>
      <b/>
      <sz val="10"/>
      <color theme="1"/>
      <name val="Calibri"/>
      <family val="2"/>
    </font>
    <font>
      <u val="singleAccounting"/>
      <sz val="10"/>
      <color theme="1"/>
      <name val="Calibri"/>
      <family val="2"/>
    </font>
    <font>
      <sz val="10"/>
      <color theme="4"/>
      <name val="Calibri"/>
      <family val="2"/>
    </font>
    <font>
      <sz val="10"/>
      <color theme="0" tint="-0.34998626667073579"/>
      <name val="Calibri"/>
      <family val="2"/>
    </font>
    <font>
      <u val="singleAccounting"/>
      <sz val="10"/>
      <color theme="4"/>
      <name val="Calibri"/>
      <family val="2"/>
    </font>
    <font>
      <u val="singleAccounting"/>
      <sz val="10"/>
      <color theme="3" tint="0.249977111117893"/>
      <name val="Calibri"/>
      <family val="2"/>
    </font>
    <font>
      <i/>
      <sz val="10"/>
      <color theme="1"/>
      <name val="Calibri"/>
      <family val="2"/>
    </font>
    <font>
      <b/>
      <sz val="10"/>
      <color rgb="FF0070C0"/>
      <name val="Calibri"/>
      <family val="2"/>
    </font>
    <font>
      <sz val="10"/>
      <name val="Calibri"/>
      <family val="2"/>
    </font>
    <font>
      <b/>
      <sz val="11"/>
      <color theme="1"/>
      <name val="Calibri"/>
      <family val="2"/>
    </font>
    <font>
      <sz val="11"/>
      <name val="Calibri"/>
      <family val="2"/>
    </font>
    <font>
      <u/>
      <sz val="10"/>
      <color theme="10"/>
      <name val="Calibri"/>
      <family val="2"/>
    </font>
    <font>
      <b/>
      <sz val="10"/>
      <color theme="0"/>
      <name val="Calibri"/>
      <family val="2"/>
    </font>
    <font>
      <sz val="10"/>
      <color theme="0"/>
      <name val="Calibri"/>
      <family val="2"/>
    </font>
    <font>
      <b/>
      <sz val="9"/>
      <color theme="1"/>
      <name val="Calibri"/>
      <family val="2"/>
    </font>
    <font>
      <sz val="9"/>
      <name val="Calibri"/>
      <family val="2"/>
    </font>
    <font>
      <b/>
      <sz val="9"/>
      <name val="Calibri"/>
      <family val="2"/>
    </font>
    <font>
      <i/>
      <sz val="9"/>
      <color theme="1"/>
      <name val="Calibri"/>
      <family val="2"/>
    </font>
    <font>
      <sz val="8"/>
      <color theme="1"/>
      <name val="Calibri"/>
      <family val="2"/>
    </font>
    <font>
      <b/>
      <sz val="10"/>
      <name val="Calibri"/>
      <family val="2"/>
    </font>
    <font>
      <u/>
      <sz val="9"/>
      <color theme="10"/>
      <name val="Calibri"/>
      <family val="2"/>
    </font>
    <font>
      <b/>
      <sz val="19"/>
      <name val="Calibri"/>
      <family val="2"/>
    </font>
    <font>
      <b/>
      <sz val="11"/>
      <name val="Calibri"/>
      <family val="2"/>
    </font>
    <font>
      <sz val="9"/>
      <color theme="1" tint="0.34998626667073579"/>
      <name val="Calibri"/>
      <family val="2"/>
    </font>
    <font>
      <i/>
      <sz val="9"/>
      <name val="Calibri"/>
      <family val="2"/>
    </font>
    <font>
      <sz val="9"/>
      <color theme="0" tint="-0.34998626667073579"/>
      <name val="Calibri"/>
      <family val="2"/>
    </font>
    <font>
      <sz val="9"/>
      <color theme="0"/>
      <name val="Calibri"/>
      <family val="2"/>
    </font>
    <font>
      <b/>
      <u/>
      <sz val="9"/>
      <color theme="1"/>
      <name val="Calibri"/>
      <family val="2"/>
    </font>
    <font>
      <b/>
      <sz val="13"/>
      <name val="Calibri"/>
      <family val="2"/>
    </font>
    <font>
      <b/>
      <sz val="10"/>
      <color rgb="FF000000"/>
      <name val="Calibri"/>
      <family val="2"/>
    </font>
    <font>
      <sz val="10"/>
      <color theme="0" tint="-0.249977111117893"/>
      <name val="Calibri"/>
      <family val="2"/>
    </font>
    <font>
      <b/>
      <sz val="18"/>
      <name val="Calibri"/>
      <family val="2"/>
    </font>
    <font>
      <b/>
      <sz val="8"/>
      <color theme="1"/>
      <name val="Calibri"/>
      <family val="2"/>
    </font>
    <font>
      <b/>
      <sz val="14"/>
      <color theme="1"/>
      <name val="Calibri"/>
      <family val="2"/>
    </font>
    <font>
      <sz val="12"/>
      <color theme="1"/>
      <name val="Aptos Narrow"/>
      <family val="2"/>
      <scheme val="minor"/>
    </font>
    <font>
      <i/>
      <sz val="11"/>
      <color theme="1"/>
      <name val="Aptos Narrow"/>
      <family val="2"/>
      <scheme val="minor"/>
    </font>
    <font>
      <sz val="11"/>
      <color theme="0" tint="-0.34998626667073579"/>
      <name val="Aptos Narrow"/>
      <family val="2"/>
      <scheme val="minor"/>
    </font>
    <font>
      <sz val="10"/>
      <name val="Source Sans Pro"/>
      <family val="2"/>
    </font>
    <font>
      <sz val="10"/>
      <name val="Aptos Narrow"/>
      <family val="2"/>
      <scheme val="minor"/>
    </font>
    <font>
      <b/>
      <sz val="11"/>
      <color rgb="FF00B050"/>
      <name val="Aptos Narrow"/>
      <family val="2"/>
      <scheme val="minor"/>
    </font>
    <font>
      <sz val="11"/>
      <color rgb="FFFF0000"/>
      <name val="Aptos Narrow"/>
      <family val="2"/>
      <scheme val="minor"/>
    </font>
    <font>
      <b/>
      <sz val="11"/>
      <color rgb="FF000000"/>
      <name val="Aptos Narrow"/>
      <family val="2"/>
      <scheme val="minor"/>
    </font>
    <font>
      <sz val="11"/>
      <color theme="0" tint="-0.14999847407452621"/>
      <name val="Aptos Narrow"/>
      <family val="2"/>
      <scheme val="minor"/>
    </font>
    <font>
      <b/>
      <sz val="11"/>
      <color theme="4"/>
      <name val="Aptos Narrow"/>
      <family val="2"/>
      <scheme val="minor"/>
    </font>
    <font>
      <b/>
      <i/>
      <sz val="11"/>
      <color theme="4"/>
      <name val="Aptos Narrow"/>
      <family val="2"/>
      <scheme val="minor"/>
    </font>
    <font>
      <b/>
      <i/>
      <sz val="11"/>
      <name val="Aptos Narrow"/>
      <family val="2"/>
      <scheme val="minor"/>
    </font>
    <font>
      <b/>
      <u/>
      <sz val="11"/>
      <color theme="1"/>
      <name val="Aptos Narrow"/>
      <family val="2"/>
      <scheme val="minor"/>
    </font>
    <font>
      <i/>
      <sz val="11"/>
      <color rgb="FF7030A0"/>
      <name val="Aptos Narrow"/>
      <family val="2"/>
      <scheme val="minor"/>
    </font>
    <font>
      <i/>
      <sz val="11"/>
      <color theme="9" tint="-0.249977111117893"/>
      <name val="Aptos Narrow"/>
      <family val="2"/>
      <scheme val="minor"/>
    </font>
    <font>
      <sz val="11"/>
      <color rgb="FF7030A0"/>
      <name val="Aptos Narrow"/>
      <family val="2"/>
      <scheme val="minor"/>
    </font>
    <font>
      <sz val="11"/>
      <color rgb="FF0070C0"/>
      <name val="Aptos Narrow"/>
      <family val="2"/>
      <scheme val="minor"/>
    </font>
    <font>
      <sz val="11"/>
      <color rgb="FF3F3F76"/>
      <name val="Aptos Narrow"/>
      <family val="2"/>
      <scheme val="minor"/>
    </font>
    <font>
      <b/>
      <sz val="14"/>
      <color theme="1"/>
      <name val="Aptos Narrow"/>
      <family val="2"/>
      <scheme val="minor"/>
    </font>
    <font>
      <b/>
      <sz val="11"/>
      <color rgb="FFFF0000"/>
      <name val="Aptos Narrow"/>
      <family val="2"/>
      <scheme val="minor"/>
    </font>
    <font>
      <i/>
      <sz val="9"/>
      <name val="Aptos Narrow"/>
      <family val="2"/>
      <scheme val="minor"/>
    </font>
    <font>
      <sz val="12"/>
      <color rgb="FF444444"/>
      <name val="Robotocondensed-regular-webfont"/>
    </font>
    <font>
      <b/>
      <sz val="8"/>
      <name val="Aptos Narrow"/>
      <family val="2"/>
      <scheme val="minor"/>
    </font>
    <font>
      <sz val="10"/>
      <color rgb="FFFF0000"/>
      <name val="Calibri"/>
      <family val="2"/>
    </font>
    <font>
      <sz val="8"/>
      <color rgb="FF00B050"/>
      <name val="Calibri"/>
      <family val="2"/>
    </font>
    <font>
      <sz val="8"/>
      <color rgb="FF00B050"/>
      <name val="Aptos Narrow"/>
      <family val="2"/>
      <scheme val="minor"/>
    </font>
    <font>
      <b/>
      <sz val="11"/>
      <color theme="0"/>
      <name val="Calibri"/>
      <family val="2"/>
    </font>
    <font>
      <sz val="11"/>
      <color theme="0"/>
      <name val="Calibri"/>
      <family val="2"/>
    </font>
    <font>
      <sz val="11"/>
      <color rgb="FF3F3F76"/>
      <name val="Calibri"/>
      <family val="2"/>
    </font>
    <font>
      <u/>
      <sz val="11"/>
      <color theme="1"/>
      <name val="Aptos Narrow"/>
      <scheme val="minor"/>
    </font>
    <font>
      <b/>
      <sz val="10"/>
      <color theme="4"/>
      <name val="Calibri"/>
      <family val="2"/>
    </font>
    <font>
      <b/>
      <sz val="11"/>
      <color theme="4"/>
      <name val="Calibri"/>
      <family val="2"/>
    </font>
    <font>
      <u/>
      <sz val="11"/>
      <color theme="10"/>
      <name val="Calibri"/>
      <family val="2"/>
    </font>
    <font>
      <sz val="11"/>
      <color theme="4"/>
      <name val="Calibri"/>
      <family val="2"/>
    </font>
    <font>
      <u/>
      <sz val="10"/>
      <color theme="1"/>
      <name val="Calibri"/>
      <family val="2"/>
    </font>
    <font>
      <b/>
      <sz val="18"/>
      <color theme="1"/>
      <name val="Calibri"/>
      <family val="2"/>
    </font>
    <font>
      <b/>
      <sz val="11"/>
      <color rgb="FF000000"/>
      <name val="Calibri"/>
      <family val="2"/>
    </font>
    <font>
      <sz val="11"/>
      <color theme="0" tint="-0.499984740745262"/>
      <name val="Calibri"/>
      <family val="2"/>
    </font>
    <font>
      <sz val="11"/>
      <color rgb="FF000000"/>
      <name val="Calibri"/>
      <family val="2"/>
    </font>
    <font>
      <b/>
      <sz val="11"/>
      <color theme="0" tint="-0.499984740745262"/>
      <name val="Calibri"/>
      <family val="2"/>
    </font>
    <font>
      <b/>
      <sz val="10"/>
      <color theme="0" tint="-0.249977111117893"/>
      <name val="Calibri"/>
      <family val="2"/>
    </font>
    <font>
      <sz val="9"/>
      <color rgb="FF0070C0"/>
      <name val="Calibri"/>
      <family val="2"/>
    </font>
    <font>
      <b/>
      <sz val="12"/>
      <color theme="1"/>
      <name val="Calibri"/>
      <family val="2"/>
    </font>
    <font>
      <sz val="12"/>
      <color theme="1"/>
      <name val="Calibri"/>
      <family val="2"/>
    </font>
    <font>
      <b/>
      <sz val="12"/>
      <color theme="3" tint="0.249977111117893"/>
      <name val="Calibri"/>
      <family val="2"/>
    </font>
    <font>
      <sz val="12"/>
      <color theme="4"/>
      <name val="Calibri"/>
      <family val="2"/>
    </font>
    <font>
      <u/>
      <sz val="12"/>
      <color theme="1"/>
      <name val="Calibri"/>
      <family val="2"/>
    </font>
    <font>
      <sz val="12"/>
      <name val="Calibri"/>
      <family val="2"/>
    </font>
    <font>
      <u/>
      <sz val="12"/>
      <name val="Calibri"/>
      <family val="2"/>
    </font>
    <font>
      <sz val="12"/>
      <color theme="0" tint="-0.249977111117893"/>
      <name val="Calibri"/>
      <family val="2"/>
    </font>
    <font>
      <i/>
      <sz val="12"/>
      <name val="Calibri"/>
      <family val="2"/>
    </font>
    <font>
      <b/>
      <sz val="14"/>
      <color theme="0"/>
      <name val="Calibri"/>
      <family val="2"/>
    </font>
    <font>
      <b/>
      <u/>
      <sz val="14"/>
      <color theme="0"/>
      <name val="Calibri"/>
      <family val="2"/>
    </font>
    <font>
      <sz val="14"/>
      <color theme="0"/>
      <name val="Calibri"/>
      <family val="2"/>
    </font>
    <font>
      <sz val="12"/>
      <color rgb="FFFF0000"/>
      <name val="Calibri"/>
      <family val="2"/>
    </font>
    <font>
      <b/>
      <sz val="10"/>
      <color rgb="FFFF0000"/>
      <name val="Calibri"/>
      <family val="2"/>
    </font>
    <font>
      <i/>
      <sz val="12"/>
      <color rgb="FFFF0000"/>
      <name val="Calibri"/>
      <family val="2"/>
    </font>
    <font>
      <sz val="10"/>
      <color indexed="8"/>
      <name val="Calibri"/>
      <family val="2"/>
    </font>
    <font>
      <u/>
      <sz val="10"/>
      <color indexed="8"/>
      <name val="Calibri"/>
      <family val="2"/>
    </font>
    <font>
      <sz val="12"/>
      <color theme="6"/>
      <name val="Calibri"/>
      <family val="2"/>
    </font>
    <font>
      <sz val="8.5"/>
      <color theme="1"/>
      <name val="Calibri"/>
      <family val="2"/>
    </font>
    <font>
      <i/>
      <sz val="8"/>
      <color theme="1"/>
      <name val="Calibri"/>
      <family val="2"/>
    </font>
    <font>
      <i/>
      <sz val="11"/>
      <color theme="1"/>
      <name val="Calibri"/>
      <family val="2"/>
    </font>
    <font>
      <i/>
      <sz val="8"/>
      <color rgb="FFFF0000"/>
      <name val="Calibri"/>
      <family val="2"/>
    </font>
    <font>
      <b/>
      <sz val="16"/>
      <color theme="1"/>
      <name val="Aptos Narrow"/>
      <family val="2"/>
      <scheme val="minor"/>
    </font>
    <font>
      <sz val="16"/>
      <color theme="1"/>
      <name val="Aptos Narrow"/>
      <family val="2"/>
      <scheme val="minor"/>
    </font>
    <font>
      <sz val="10"/>
      <color theme="0" tint="-0.499984740745262"/>
      <name val="Calibri"/>
      <family val="2"/>
    </font>
    <font>
      <sz val="10"/>
      <color theme="9"/>
      <name val="Calibri"/>
      <family val="2"/>
    </font>
    <font>
      <sz val="10"/>
      <color theme="0" tint="-0.14999847407452621"/>
      <name val="Calibri"/>
      <family val="2"/>
    </font>
    <font>
      <sz val="10"/>
      <color rgb="FF0070C0"/>
      <name val="Calibri"/>
      <family val="2"/>
    </font>
    <font>
      <i/>
      <sz val="9"/>
      <color rgb="FFFF0000"/>
      <name val="Aptos Narrow"/>
      <family val="2"/>
      <scheme val="minor"/>
    </font>
    <font>
      <sz val="11"/>
      <color theme="0" tint="-0.249977111117893"/>
      <name val="Aptos Narrow"/>
      <family val="2"/>
      <scheme val="minor"/>
    </font>
    <font>
      <sz val="11"/>
      <color theme="4" tint="-0.249977111117893"/>
      <name val="Aptos Narrow"/>
      <family val="2"/>
      <scheme val="minor"/>
    </font>
  </fonts>
  <fills count="17">
    <fill>
      <patternFill patternType="none"/>
    </fill>
    <fill>
      <patternFill patternType="gray125"/>
    </fill>
    <fill>
      <patternFill patternType="solid">
        <fgColor theme="0"/>
        <bgColor indexed="64"/>
      </patternFill>
    </fill>
    <fill>
      <patternFill patternType="solid">
        <fgColor theme="3" tint="9.9978637043366805E-2"/>
        <bgColor indexed="64"/>
      </patternFill>
    </fill>
    <fill>
      <patternFill patternType="solid">
        <fgColor rgb="FFFFCC99"/>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2F2F2"/>
      </patternFill>
    </fill>
    <fill>
      <patternFill patternType="solid">
        <fgColor rgb="FFFFFFCC"/>
      </patternFill>
    </fill>
    <fill>
      <patternFill patternType="solid">
        <fgColor theme="4"/>
        <bgColor indexed="64"/>
      </patternFill>
    </fill>
    <fill>
      <patternFill patternType="solid">
        <fgColor rgb="FF003366"/>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4" tint="-0.249977111117893"/>
        <bgColor indexed="64"/>
      </patternFill>
    </fill>
    <fill>
      <patternFill patternType="solid">
        <fgColor rgb="FF002060"/>
        <bgColor indexed="64"/>
      </patternFill>
    </fill>
  </fills>
  <borders count="23">
    <border>
      <left/>
      <right/>
      <top/>
      <bottom/>
      <diagonal/>
    </border>
    <border>
      <left/>
      <right/>
      <top style="thin">
        <color indexed="64"/>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7F7F7F"/>
      </left>
      <right style="thin">
        <color rgb="FF7F7F7F"/>
      </right>
      <top style="thin">
        <color rgb="FF7F7F7F"/>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rgb="FF7F7F7F"/>
      </left>
      <right style="thin">
        <color rgb="FF7F7F7F"/>
      </right>
      <top/>
      <bottom style="thin">
        <color rgb="FF7F7F7F"/>
      </bottom>
      <diagonal/>
    </border>
    <border>
      <left style="thin">
        <color rgb="FFB2B2B2"/>
      </left>
      <right/>
      <top style="thin">
        <color rgb="FFB2B2B2"/>
      </top>
      <bottom style="thin">
        <color rgb="FFB2B2B2"/>
      </bottom>
      <diagonal/>
    </border>
    <border>
      <left/>
      <right style="thin">
        <color indexed="64"/>
      </right>
      <top style="thin">
        <color indexed="64"/>
      </top>
      <bottom style="thin">
        <color indexed="64"/>
      </bottom>
      <diagonal/>
    </border>
  </borders>
  <cellStyleXfs count="24">
    <xf numFmtId="0" fontId="0" fillId="0" borderId="0"/>
    <xf numFmtId="9" fontId="15" fillId="0" borderId="0" applyFont="0" applyFill="0" applyBorder="0" applyAlignment="0" applyProtection="0"/>
    <xf numFmtId="43" fontId="15" fillId="0" borderId="0" applyFont="0" applyFill="0" applyBorder="0" applyAlignment="0" applyProtection="0"/>
    <xf numFmtId="0" fontId="21" fillId="0" borderId="0" applyNumberFormat="0" applyFill="0" applyBorder="0" applyAlignment="0" applyProtection="0"/>
    <xf numFmtId="0" fontId="33" fillId="4" borderId="13" applyNumberFormat="0" applyAlignment="0" applyProtection="0"/>
    <xf numFmtId="43" fontId="15" fillId="0" borderId="0" applyFont="0" applyFill="0" applyBorder="0" applyAlignment="0" applyProtection="0"/>
    <xf numFmtId="0" fontId="14" fillId="0" borderId="0"/>
    <xf numFmtId="0" fontId="15" fillId="9" borderId="14" applyNumberFormat="0" applyFont="0" applyAlignment="0" applyProtection="0"/>
    <xf numFmtId="0" fontId="69" fillId="8" borderId="13" applyNumberFormat="0" applyAlignment="0" applyProtection="0"/>
    <xf numFmtId="0" fontId="13" fillId="0" borderId="0"/>
    <xf numFmtId="43" fontId="13" fillId="0" borderId="0" applyFont="0" applyFill="0" applyBorder="0" applyAlignment="0" applyProtection="0"/>
    <xf numFmtId="0" fontId="90" fillId="0" borderId="0" applyNumberFormat="0" applyFill="0" applyBorder="0" applyAlignment="0" applyProtection="0"/>
    <xf numFmtId="9" fontId="13" fillId="0" borderId="0" applyFont="0" applyFill="0" applyBorder="0" applyAlignment="0" applyProtection="0"/>
    <xf numFmtId="0" fontId="11" fillId="0" borderId="0"/>
    <xf numFmtId="0" fontId="9" fillId="0" borderId="0"/>
    <xf numFmtId="0" fontId="141" fillId="4" borderId="13" applyNumberFormat="0" applyAlignment="0" applyProtection="0"/>
    <xf numFmtId="9" fontId="9" fillId="0" borderId="0" applyFont="0" applyFill="0" applyBorder="0" applyAlignment="0" applyProtection="0"/>
    <xf numFmtId="43" fontId="9" fillId="0" borderId="0" applyFont="0" applyFill="0" applyBorder="0" applyAlignment="0" applyProtection="0"/>
    <xf numFmtId="0" fontId="8" fillId="0" borderId="0"/>
    <xf numFmtId="0" fontId="5" fillId="0" borderId="0"/>
    <xf numFmtId="0" fontId="145" fillId="0" borderId="0" applyNumberFormat="0" applyFill="0" applyBorder="0" applyAlignment="0" applyProtection="0"/>
    <xf numFmtId="0" fontId="4" fillId="0" borderId="0"/>
    <xf numFmtId="43" fontId="4" fillId="0" borderId="0" applyFont="0" applyFill="0" applyBorder="0" applyAlignment="0" applyProtection="0"/>
    <xf numFmtId="0" fontId="3" fillId="0" borderId="0"/>
  </cellStyleXfs>
  <cellXfs count="901">
    <xf numFmtId="0" fontId="0" fillId="0" borderId="0" xfId="0"/>
    <xf numFmtId="0" fontId="16" fillId="0" borderId="0" xfId="0" applyFont="1"/>
    <xf numFmtId="164" fontId="0" fillId="0" borderId="0" xfId="0" applyNumberFormat="1"/>
    <xf numFmtId="164" fontId="0" fillId="0" borderId="0" xfId="2" applyNumberFormat="1" applyFont="1"/>
    <xf numFmtId="9" fontId="0" fillId="0" borderId="0" xfId="1" applyFont="1"/>
    <xf numFmtId="0" fontId="22" fillId="0" borderId="0" xfId="0" applyFont="1"/>
    <xf numFmtId="0" fontId="23" fillId="0" borderId="0" xfId="0" applyFont="1"/>
    <xf numFmtId="164" fontId="23" fillId="0" borderId="0" xfId="0" applyNumberFormat="1" applyFont="1"/>
    <xf numFmtId="0" fontId="25" fillId="0" borderId="0" xfId="0" applyFont="1"/>
    <xf numFmtId="164" fontId="25" fillId="0" borderId="0" xfId="0" applyNumberFormat="1" applyFont="1"/>
    <xf numFmtId="14" fontId="0" fillId="0" borderId="0" xfId="0" applyNumberFormat="1"/>
    <xf numFmtId="0" fontId="29" fillId="0" borderId="0" xfId="0" applyFont="1"/>
    <xf numFmtId="164" fontId="29" fillId="0" borderId="0" xfId="0" applyNumberFormat="1" applyFont="1"/>
    <xf numFmtId="0" fontId="29" fillId="0" borderId="0" xfId="0" applyFont="1" applyAlignment="1">
      <alignment horizontal="right"/>
    </xf>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0" xfId="0" applyFill="1"/>
    <xf numFmtId="0" fontId="0" fillId="3" borderId="10" xfId="0" applyFill="1" applyBorder="1"/>
    <xf numFmtId="0" fontId="28" fillId="3" borderId="0" xfId="0" applyFont="1" applyFill="1"/>
    <xf numFmtId="0" fontId="0" fillId="2" borderId="10" xfId="0" applyFill="1" applyBorder="1"/>
    <xf numFmtId="0" fontId="0" fillId="2" borderId="12" xfId="0" applyFill="1" applyBorder="1"/>
    <xf numFmtId="0" fontId="32" fillId="2" borderId="0" xfId="0" applyFont="1" applyFill="1" applyAlignment="1">
      <alignment horizontal="left" vertical="top"/>
    </xf>
    <xf numFmtId="0" fontId="25" fillId="0" borderId="0" xfId="0" applyFont="1" applyAlignment="1">
      <alignment horizontal="center"/>
    </xf>
    <xf numFmtId="0" fontId="34" fillId="5" borderId="0" xfId="0" applyFont="1" applyFill="1"/>
    <xf numFmtId="0" fontId="0" fillId="5" borderId="0" xfId="0" applyFill="1"/>
    <xf numFmtId="0" fontId="27" fillId="6" borderId="0" xfId="0" applyFont="1" applyFill="1" applyAlignment="1">
      <alignment horizontal="left"/>
    </xf>
    <xf numFmtId="0" fontId="0" fillId="6" borderId="0" xfId="0" applyFill="1"/>
    <xf numFmtId="0" fontId="27" fillId="0" borderId="0" xfId="0" applyFont="1" applyAlignment="1">
      <alignment horizontal="left"/>
    </xf>
    <xf numFmtId="0" fontId="27" fillId="0" borderId="0" xfId="0" applyFont="1"/>
    <xf numFmtId="0" fontId="27" fillId="0" borderId="0" xfId="0" applyFont="1" applyAlignment="1">
      <alignment horizontal="center"/>
    </xf>
    <xf numFmtId="164" fontId="22" fillId="0" borderId="0" xfId="2" applyNumberFormat="1" applyFont="1"/>
    <xf numFmtId="164" fontId="22" fillId="0" borderId="0" xfId="0" applyNumberFormat="1" applyFont="1"/>
    <xf numFmtId="9" fontId="22" fillId="0" borderId="0" xfId="0" applyNumberFormat="1" applyFont="1"/>
    <xf numFmtId="2" fontId="22" fillId="0" borderId="0" xfId="0" applyNumberFormat="1" applyFont="1"/>
    <xf numFmtId="2" fontId="22" fillId="0" borderId="0" xfId="0" applyNumberFormat="1" applyFont="1" applyAlignment="1">
      <alignment horizontal="right"/>
    </xf>
    <xf numFmtId="164" fontId="35" fillId="0" borderId="0" xfId="2" applyNumberFormat="1" applyFont="1"/>
    <xf numFmtId="3" fontId="35" fillId="0" borderId="0" xfId="0" applyNumberFormat="1" applyFont="1"/>
    <xf numFmtId="17" fontId="22" fillId="0" borderId="0" xfId="0" applyNumberFormat="1" applyFont="1"/>
    <xf numFmtId="14" fontId="36" fillId="0" borderId="0" xfId="0" applyNumberFormat="1" applyFont="1" applyAlignment="1">
      <alignment horizontal="center"/>
    </xf>
    <xf numFmtId="14" fontId="22" fillId="0" borderId="0" xfId="0" applyNumberFormat="1" applyFont="1" applyAlignment="1">
      <alignment horizontal="center"/>
    </xf>
    <xf numFmtId="0" fontId="35" fillId="0" borderId="0" xfId="0" applyFont="1" applyAlignment="1">
      <alignment horizontal="right"/>
    </xf>
    <xf numFmtId="0" fontId="19" fillId="0" borderId="0" xfId="0" applyFont="1"/>
    <xf numFmtId="0" fontId="19" fillId="6" borderId="0" xfId="0" applyFont="1" applyFill="1"/>
    <xf numFmtId="0" fontId="35" fillId="0" borderId="0" xfId="0" applyFont="1"/>
    <xf numFmtId="0" fontId="37" fillId="0" borderId="0" xfId="0" applyFont="1" applyAlignment="1">
      <alignment wrapText="1"/>
    </xf>
    <xf numFmtId="0" fontId="38" fillId="0" borderId="0" xfId="0" applyFont="1" applyAlignment="1">
      <alignment wrapText="1"/>
    </xf>
    <xf numFmtId="0" fontId="39" fillId="0" borderId="0" xfId="0" applyFont="1" applyAlignment="1">
      <alignment wrapText="1"/>
    </xf>
    <xf numFmtId="0" fontId="35" fillId="0" borderId="0" xfId="0" applyFont="1" applyAlignment="1">
      <alignment wrapText="1"/>
    </xf>
    <xf numFmtId="1" fontId="22" fillId="0" borderId="0" xfId="0" applyNumberFormat="1" applyFont="1"/>
    <xf numFmtId="0" fontId="40" fillId="0" borderId="0" xfId="0" applyFont="1"/>
    <xf numFmtId="164" fontId="40" fillId="0" borderId="0" xfId="2" applyNumberFormat="1" applyFont="1"/>
    <xf numFmtId="9" fontId="22" fillId="0" borderId="0" xfId="1" applyFont="1"/>
    <xf numFmtId="43" fontId="22" fillId="0" borderId="0" xfId="0" applyNumberFormat="1" applyFont="1"/>
    <xf numFmtId="0" fontId="38" fillId="0" borderId="0" xfId="0" applyFont="1"/>
    <xf numFmtId="0" fontId="41" fillId="0" borderId="0" xfId="3" applyFont="1"/>
    <xf numFmtId="0" fontId="41" fillId="0" borderId="0" xfId="3" applyFont="1" applyFill="1"/>
    <xf numFmtId="0" fontId="27" fillId="0" borderId="0" xfId="0" applyFont="1" applyAlignment="1">
      <alignment horizontal="right"/>
    </xf>
    <xf numFmtId="0" fontId="42" fillId="0" borderId="0" xfId="0" applyFont="1"/>
    <xf numFmtId="0" fontId="32" fillId="0" borderId="0" xfId="0" applyFont="1"/>
    <xf numFmtId="0" fontId="35" fillId="0" borderId="0" xfId="0" applyFont="1" applyAlignment="1">
      <alignment horizontal="left" wrapText="1"/>
    </xf>
    <xf numFmtId="164" fontId="43" fillId="0" borderId="0" xfId="2" applyNumberFormat="1" applyFont="1"/>
    <xf numFmtId="2" fontId="0" fillId="0" borderId="0" xfId="0" applyNumberFormat="1" applyAlignment="1">
      <alignment horizontal="center"/>
    </xf>
    <xf numFmtId="0" fontId="29" fillId="0" borderId="0" xfId="0" applyFont="1" applyAlignment="1">
      <alignment horizontal="left"/>
    </xf>
    <xf numFmtId="164" fontId="29" fillId="0" borderId="0" xfId="2" applyNumberFormat="1" applyFont="1" applyAlignment="1">
      <alignment horizontal="left"/>
    </xf>
    <xf numFmtId="9" fontId="29" fillId="0" borderId="0" xfId="1" applyFont="1" applyAlignment="1">
      <alignment horizontal="center"/>
    </xf>
    <xf numFmtId="2" fontId="29" fillId="0" borderId="0" xfId="0" applyNumberFormat="1" applyFont="1" applyAlignment="1">
      <alignment horizontal="center"/>
    </xf>
    <xf numFmtId="9" fontId="0" fillId="0" borderId="0" xfId="0" applyNumberFormat="1"/>
    <xf numFmtId="164" fontId="45" fillId="0" borderId="0" xfId="2" applyNumberFormat="1" applyFont="1" applyAlignment="1">
      <alignment horizontal="center"/>
    </xf>
    <xf numFmtId="0" fontId="46" fillId="0" borderId="0" xfId="0" applyFont="1" applyAlignment="1">
      <alignment wrapText="1"/>
    </xf>
    <xf numFmtId="164" fontId="25" fillId="0" borderId="0" xfId="2" applyNumberFormat="1" applyFont="1"/>
    <xf numFmtId="0" fontId="38" fillId="0" borderId="2" xfId="0" applyFont="1" applyBorder="1" applyAlignment="1">
      <alignment wrapText="1"/>
    </xf>
    <xf numFmtId="0" fontId="22" fillId="0" borderId="2" xfId="0" applyFont="1" applyBorder="1"/>
    <xf numFmtId="164" fontId="22" fillId="0" borderId="0" xfId="2" applyNumberFormat="1" applyFont="1" applyBorder="1"/>
    <xf numFmtId="0" fontId="47" fillId="0" borderId="0" xfId="0" applyFont="1" applyAlignment="1">
      <alignment wrapText="1"/>
    </xf>
    <xf numFmtId="0" fontId="22" fillId="7" borderId="0" xfId="0" applyFont="1" applyFill="1"/>
    <xf numFmtId="0" fontId="26" fillId="7" borderId="0" xfId="0" applyFont="1" applyFill="1"/>
    <xf numFmtId="0" fontId="26" fillId="0" borderId="0" xfId="0" applyFont="1"/>
    <xf numFmtId="164" fontId="26" fillId="0" borderId="0" xfId="2" applyNumberFormat="1" applyFont="1"/>
    <xf numFmtId="164" fontId="48" fillId="0" borderId="0" xfId="0" applyNumberFormat="1" applyFont="1"/>
    <xf numFmtId="9" fontId="29" fillId="0" borderId="0" xfId="1" applyFont="1"/>
    <xf numFmtId="0" fontId="26" fillId="0" borderId="0" xfId="0" applyFont="1" applyAlignment="1">
      <alignment horizontal="right"/>
    </xf>
    <xf numFmtId="164" fontId="49" fillId="4" borderId="13" xfId="4" applyNumberFormat="1" applyFont="1"/>
    <xf numFmtId="165" fontId="0" fillId="0" borderId="0" xfId="0" applyNumberFormat="1"/>
    <xf numFmtId="165" fontId="29" fillId="0" borderId="0" xfId="1" applyNumberFormat="1" applyFont="1" applyAlignment="1">
      <alignment horizontal="center"/>
    </xf>
    <xf numFmtId="9" fontId="29" fillId="0" borderId="0" xfId="2" applyNumberFormat="1" applyFont="1" applyAlignment="1">
      <alignment horizontal="center"/>
    </xf>
    <xf numFmtId="165" fontId="0" fillId="6" borderId="0" xfId="0" applyNumberFormat="1" applyFill="1" applyAlignment="1">
      <alignment vertical="center"/>
    </xf>
    <xf numFmtId="164" fontId="22" fillId="0" borderId="2" xfId="2" applyNumberFormat="1" applyFont="1" applyBorder="1"/>
    <xf numFmtId="0" fontId="37" fillId="0" borderId="0" xfId="0" applyFont="1" applyAlignment="1">
      <alignment horizontal="center" wrapText="1"/>
    </xf>
    <xf numFmtId="49" fontId="22" fillId="0" borderId="0" xfId="0" applyNumberFormat="1" applyFont="1" applyAlignment="1">
      <alignment horizontal="center"/>
    </xf>
    <xf numFmtId="164" fontId="51" fillId="0" borderId="0" xfId="2" applyNumberFormat="1" applyFont="1"/>
    <xf numFmtId="1" fontId="51" fillId="0" borderId="0" xfId="0" applyNumberFormat="1" applyFont="1"/>
    <xf numFmtId="164" fontId="51" fillId="0" borderId="0" xfId="0" applyNumberFormat="1" applyFont="1"/>
    <xf numFmtId="164" fontId="52" fillId="0" borderId="0" xfId="2" applyNumberFormat="1" applyFont="1"/>
    <xf numFmtId="0" fontId="30" fillId="0" borderId="0" xfId="0" applyFont="1"/>
    <xf numFmtId="0" fontId="54" fillId="2" borderId="10" xfId="0" applyFont="1" applyFill="1" applyBorder="1"/>
    <xf numFmtId="9" fontId="29" fillId="0" borderId="0" xfId="0" applyNumberFormat="1" applyFont="1"/>
    <xf numFmtId="165" fontId="29" fillId="0" borderId="0" xfId="0" applyNumberFormat="1" applyFont="1"/>
    <xf numFmtId="9" fontId="25" fillId="0" borderId="0" xfId="1" applyFont="1" applyBorder="1"/>
    <xf numFmtId="165" fontId="22" fillId="0" borderId="0" xfId="0" applyNumberFormat="1" applyFont="1" applyAlignment="1">
      <alignment vertical="center"/>
    </xf>
    <xf numFmtId="2" fontId="22" fillId="0" borderId="0" xfId="0" applyNumberFormat="1" applyFont="1" applyAlignment="1">
      <alignment horizontal="center"/>
    </xf>
    <xf numFmtId="43" fontId="0" fillId="0" borderId="0" xfId="0" applyNumberFormat="1"/>
    <xf numFmtId="0" fontId="57" fillId="0" borderId="0" xfId="0" applyFont="1" applyAlignment="1">
      <alignment horizontal="center" vertical="center" wrapText="1"/>
    </xf>
    <xf numFmtId="0" fontId="58" fillId="0" borderId="0" xfId="0" applyFont="1"/>
    <xf numFmtId="0" fontId="21" fillId="0" borderId="0" xfId="3"/>
    <xf numFmtId="14" fontId="35" fillId="0" borderId="0" xfId="0" applyNumberFormat="1" applyFont="1"/>
    <xf numFmtId="0" fontId="27" fillId="0" borderId="4" xfId="0" applyFont="1" applyBorder="1"/>
    <xf numFmtId="164" fontId="27" fillId="0" borderId="4" xfId="0" applyNumberFormat="1" applyFont="1" applyBorder="1"/>
    <xf numFmtId="0" fontId="36" fillId="0" borderId="0" xfId="0" applyFont="1"/>
    <xf numFmtId="0" fontId="60" fillId="0" borderId="0" xfId="0" applyFont="1" applyAlignment="1">
      <alignment horizontal="center"/>
    </xf>
    <xf numFmtId="0" fontId="60" fillId="0" borderId="0" xfId="0" applyFont="1"/>
    <xf numFmtId="164" fontId="0" fillId="6" borderId="0" xfId="0" applyNumberFormat="1" applyFill="1"/>
    <xf numFmtId="0" fontId="15" fillId="0" borderId="0" xfId="0" applyFont="1"/>
    <xf numFmtId="0" fontId="61" fillId="9" borderId="14" xfId="7" applyFont="1" applyAlignment="1">
      <alignment horizontal="right"/>
    </xf>
    <xf numFmtId="0" fontId="62" fillId="5" borderId="0" xfId="0" applyFont="1" applyFill="1"/>
    <xf numFmtId="0" fontId="20" fillId="5" borderId="0" xfId="0" applyFont="1" applyFill="1"/>
    <xf numFmtId="164" fontId="22" fillId="0" borderId="0" xfId="7" applyNumberFormat="1" applyFont="1" applyFill="1" applyBorder="1"/>
    <xf numFmtId="164" fontId="22" fillId="9" borderId="14" xfId="7" applyNumberFormat="1" applyFont="1"/>
    <xf numFmtId="0" fontId="22" fillId="0" borderId="0" xfId="0" applyFont="1" applyAlignment="1">
      <alignment horizontal="left" indent="2"/>
    </xf>
    <xf numFmtId="164" fontId="36" fillId="0" borderId="0" xfId="2" applyNumberFormat="1" applyFont="1"/>
    <xf numFmtId="164" fontId="35" fillId="0" borderId="0" xfId="0" applyNumberFormat="1" applyFont="1"/>
    <xf numFmtId="0" fontId="19" fillId="5" borderId="0" xfId="0" applyFont="1" applyFill="1"/>
    <xf numFmtId="0" fontId="63" fillId="0" borderId="0" xfId="0" applyFont="1"/>
    <xf numFmtId="0" fontId="19" fillId="0" borderId="0" xfId="0" applyFont="1" applyAlignment="1">
      <alignment horizontal="center"/>
    </xf>
    <xf numFmtId="1" fontId="0" fillId="0" borderId="0" xfId="2" applyNumberFormat="1" applyFont="1" applyAlignment="1">
      <alignment horizontal="right"/>
    </xf>
    <xf numFmtId="164" fontId="0" fillId="9" borderId="14" xfId="2" applyNumberFormat="1" applyFont="1" applyFill="1" applyBorder="1" applyAlignment="1">
      <alignment horizontal="right"/>
    </xf>
    <xf numFmtId="0" fontId="60" fillId="0" borderId="0" xfId="0" applyFont="1" applyAlignment="1">
      <alignment horizontal="right"/>
    </xf>
    <xf numFmtId="164" fontId="64" fillId="9" borderId="14" xfId="2" applyNumberFormat="1" applyFont="1" applyFill="1" applyBorder="1" applyAlignment="1">
      <alignment horizontal="right"/>
    </xf>
    <xf numFmtId="0" fontId="0" fillId="0" borderId="0" xfId="0" applyAlignment="1">
      <alignment horizontal="left"/>
    </xf>
    <xf numFmtId="164" fontId="65" fillId="0" borderId="0" xfId="2" applyNumberFormat="1" applyFont="1" applyAlignment="1">
      <alignment horizontal="right"/>
    </xf>
    <xf numFmtId="164" fontId="66" fillId="0" borderId="0" xfId="2" applyNumberFormat="1" applyFont="1" applyAlignment="1">
      <alignment horizontal="left"/>
    </xf>
    <xf numFmtId="164" fontId="65" fillId="5" borderId="0" xfId="2" applyNumberFormat="1" applyFont="1" applyFill="1" applyAlignment="1">
      <alignment horizontal="right"/>
    </xf>
    <xf numFmtId="164" fontId="67" fillId="0" borderId="0" xfId="0" applyNumberFormat="1" applyFont="1"/>
    <xf numFmtId="164" fontId="68" fillId="0" borderId="0" xfId="0" applyNumberFormat="1" applyFont="1"/>
    <xf numFmtId="164" fontId="70" fillId="8" borderId="13" xfId="8" applyNumberFormat="1" applyFont="1"/>
    <xf numFmtId="0" fontId="59" fillId="0" borderId="4" xfId="0" applyFont="1" applyBorder="1"/>
    <xf numFmtId="0" fontId="59" fillId="0" borderId="0" xfId="0" applyFont="1"/>
    <xf numFmtId="164" fontId="27" fillId="0" borderId="0" xfId="0" applyNumberFormat="1" applyFont="1"/>
    <xf numFmtId="164" fontId="71" fillId="0" borderId="0" xfId="2" applyNumberFormat="1" applyFont="1" applyBorder="1"/>
    <xf numFmtId="164" fontId="67" fillId="0" borderId="0" xfId="2" applyNumberFormat="1" applyFont="1" applyBorder="1"/>
    <xf numFmtId="0" fontId="72" fillId="0" borderId="0" xfId="0" applyFont="1" applyAlignment="1">
      <alignment horizontal="center"/>
    </xf>
    <xf numFmtId="0" fontId="72" fillId="0" borderId="0" xfId="0" applyFont="1"/>
    <xf numFmtId="164" fontId="72" fillId="0" borderId="0" xfId="0" applyNumberFormat="1" applyFont="1" applyAlignment="1">
      <alignment horizontal="left"/>
    </xf>
    <xf numFmtId="164" fontId="72" fillId="0" borderId="0" xfId="0" applyNumberFormat="1" applyFont="1"/>
    <xf numFmtId="164" fontId="73" fillId="0" borderId="0" xfId="2" applyNumberFormat="1" applyFont="1"/>
    <xf numFmtId="164" fontId="74" fillId="0" borderId="0" xfId="2" applyNumberFormat="1" applyFont="1"/>
    <xf numFmtId="164" fontId="75" fillId="0" borderId="0" xfId="2" applyNumberFormat="1" applyFont="1"/>
    <xf numFmtId="164" fontId="76" fillId="0" borderId="0" xfId="2" applyNumberFormat="1" applyFont="1"/>
    <xf numFmtId="164" fontId="74" fillId="9" borderId="14" xfId="7" applyNumberFormat="1" applyFont="1"/>
    <xf numFmtId="164" fontId="75" fillId="9" borderId="14" xfId="7" applyNumberFormat="1" applyFont="1"/>
    <xf numFmtId="164" fontId="18" fillId="0" borderId="0" xfId="2" applyNumberFormat="1" applyFont="1"/>
    <xf numFmtId="0" fontId="27" fillId="5" borderId="0" xfId="0" applyFont="1" applyFill="1"/>
    <xf numFmtId="0" fontId="60" fillId="5" borderId="0" xfId="0" applyFont="1" applyFill="1" applyAlignment="1">
      <alignment horizontal="center"/>
    </xf>
    <xf numFmtId="0" fontId="60" fillId="5" borderId="0" xfId="0" applyFont="1" applyFill="1"/>
    <xf numFmtId="17" fontId="22" fillId="0" borderId="0" xfId="0" applyNumberFormat="1" applyFont="1" applyAlignment="1">
      <alignment horizontal="right"/>
    </xf>
    <xf numFmtId="14" fontId="22" fillId="0" borderId="0" xfId="0" applyNumberFormat="1" applyFont="1" applyAlignment="1">
      <alignment horizontal="right"/>
    </xf>
    <xf numFmtId="17" fontId="29" fillId="0" borderId="0" xfId="0" applyNumberFormat="1" applyFont="1"/>
    <xf numFmtId="14" fontId="29" fillId="0" borderId="0" xfId="0" applyNumberFormat="1" applyFont="1" applyAlignment="1">
      <alignment horizontal="center"/>
    </xf>
    <xf numFmtId="0" fontId="17" fillId="0" borderId="0" xfId="0" applyFont="1"/>
    <xf numFmtId="0" fontId="53" fillId="0" borderId="0" xfId="3" applyFont="1"/>
    <xf numFmtId="0" fontId="13" fillId="0" borderId="0" xfId="0" applyFont="1" applyAlignment="1">
      <alignment horizontal="left" vertical="center"/>
    </xf>
    <xf numFmtId="0" fontId="13" fillId="0" borderId="0" xfId="0" applyFont="1" applyAlignment="1">
      <alignment horizontal="center" vertical="center" wrapText="1"/>
    </xf>
    <xf numFmtId="164" fontId="13" fillId="0" borderId="0" xfId="2" applyNumberFormat="1" applyFont="1" applyFill="1" applyBorder="1" applyAlignment="1">
      <alignment horizontal="center" vertical="center" wrapText="1"/>
    </xf>
    <xf numFmtId="164" fontId="13" fillId="0" borderId="0" xfId="0" applyNumberFormat="1" applyFont="1" applyAlignment="1">
      <alignment horizontal="center" vertical="center" wrapText="1"/>
    </xf>
    <xf numFmtId="0" fontId="78" fillId="0" borderId="0" xfId="0" applyFont="1" applyAlignment="1">
      <alignment horizontal="left" vertical="center"/>
    </xf>
    <xf numFmtId="164" fontId="13" fillId="0" borderId="0" xfId="2" applyNumberFormat="1" applyFont="1" applyFill="1" applyBorder="1" applyAlignment="1">
      <alignment horizontal="left" vertical="center"/>
    </xf>
    <xf numFmtId="3" fontId="13" fillId="0" borderId="0" xfId="0" applyNumberFormat="1" applyFont="1" applyAlignment="1">
      <alignment horizontal="center" vertical="center" wrapText="1"/>
    </xf>
    <xf numFmtId="0" fontId="79" fillId="0" borderId="0" xfId="0" applyFont="1" applyAlignment="1">
      <alignment horizontal="left" vertical="center"/>
    </xf>
    <xf numFmtId="0" fontId="13" fillId="0" borderId="0" xfId="0" applyFont="1" applyAlignment="1">
      <alignment horizontal="right" vertical="center" wrapText="1"/>
    </xf>
    <xf numFmtId="164" fontId="13" fillId="0" borderId="0" xfId="2" applyNumberFormat="1" applyFont="1" applyAlignment="1">
      <alignment horizontal="center" vertical="center" wrapText="1"/>
    </xf>
    <xf numFmtId="9" fontId="13" fillId="0" borderId="0" xfId="1" applyFont="1" applyFill="1" applyBorder="1" applyAlignment="1">
      <alignment horizontal="center" vertical="center" wrapText="1"/>
    </xf>
    <xf numFmtId="164" fontId="81" fillId="0" borderId="0" xfId="2" applyNumberFormat="1" applyFont="1" applyAlignment="1">
      <alignment horizontal="center" vertical="center" wrapText="1"/>
    </xf>
    <xf numFmtId="168" fontId="13" fillId="0" borderId="0" xfId="0" applyNumberFormat="1" applyFont="1" applyAlignment="1">
      <alignment horizontal="center" vertical="center" wrapText="1"/>
    </xf>
    <xf numFmtId="9" fontId="82" fillId="0" borderId="0" xfId="1" applyFont="1" applyAlignment="1">
      <alignment horizontal="center" vertical="center" wrapText="1"/>
    </xf>
    <xf numFmtId="164" fontId="83" fillId="0" borderId="0" xfId="2" applyNumberFormat="1" applyFont="1" applyAlignment="1">
      <alignment horizontal="center" vertical="center" wrapText="1"/>
    </xf>
    <xf numFmtId="164" fontId="80" fillId="0" borderId="0" xfId="0" applyNumberFormat="1" applyFont="1" applyAlignment="1">
      <alignment horizontal="center" vertical="center" wrapText="1"/>
    </xf>
    <xf numFmtId="0" fontId="13" fillId="0" borderId="0" xfId="0" applyFont="1" applyAlignment="1">
      <alignment horizontal="left" vertical="center" wrapText="1"/>
    </xf>
    <xf numFmtId="1" fontId="81" fillId="0" borderId="0" xfId="0" applyNumberFormat="1" applyFont="1" applyAlignment="1">
      <alignment horizontal="center" vertical="center" wrapText="1"/>
    </xf>
    <xf numFmtId="3" fontId="83" fillId="0" borderId="0" xfId="0" applyNumberFormat="1" applyFont="1" applyAlignment="1">
      <alignment horizontal="center" vertical="center" wrapText="1"/>
    </xf>
    <xf numFmtId="3" fontId="81" fillId="0" borderId="0" xfId="0" applyNumberFormat="1" applyFont="1" applyAlignment="1">
      <alignment horizontal="center" vertical="center" wrapText="1"/>
    </xf>
    <xf numFmtId="0" fontId="85" fillId="0" borderId="0" xfId="0" applyFont="1" applyAlignment="1">
      <alignment horizontal="center" vertical="center" wrapText="1"/>
    </xf>
    <xf numFmtId="0" fontId="86" fillId="0" borderId="0" xfId="0" applyFont="1" applyAlignment="1">
      <alignment horizontal="left" vertical="center"/>
    </xf>
    <xf numFmtId="0" fontId="85" fillId="0" borderId="0" xfId="0" applyFont="1" applyAlignment="1">
      <alignment horizontal="left" vertical="center"/>
    </xf>
    <xf numFmtId="0" fontId="89" fillId="0" borderId="0" xfId="0" applyFont="1"/>
    <xf numFmtId="0" fontId="13" fillId="0" borderId="0" xfId="9"/>
    <xf numFmtId="0" fontId="79" fillId="5" borderId="0" xfId="9" applyFont="1" applyFill="1"/>
    <xf numFmtId="0" fontId="13" fillId="5" borderId="0" xfId="9" applyFill="1"/>
    <xf numFmtId="0" fontId="79" fillId="0" borderId="0" xfId="9" applyFont="1"/>
    <xf numFmtId="164" fontId="13" fillId="0" borderId="0" xfId="9" applyNumberFormat="1"/>
    <xf numFmtId="0" fontId="90" fillId="0" borderId="0" xfId="11"/>
    <xf numFmtId="0" fontId="87" fillId="0" borderId="0" xfId="9" applyFont="1"/>
    <xf numFmtId="165" fontId="13" fillId="0" borderId="0" xfId="9" applyNumberFormat="1"/>
    <xf numFmtId="0" fontId="91" fillId="10" borderId="0" xfId="9" applyFont="1" applyFill="1"/>
    <xf numFmtId="0" fontId="92" fillId="10" borderId="0" xfId="9" applyFont="1" applyFill="1"/>
    <xf numFmtId="0" fontId="92" fillId="0" borderId="0" xfId="9" applyFont="1"/>
    <xf numFmtId="0" fontId="12" fillId="0" borderId="0" xfId="0" applyFont="1"/>
    <xf numFmtId="0" fontId="93" fillId="5" borderId="0" xfId="0" applyFont="1" applyFill="1"/>
    <xf numFmtId="0" fontId="57" fillId="5" borderId="0" xfId="0" applyFont="1" applyFill="1"/>
    <xf numFmtId="0" fontId="57" fillId="0" borderId="0" xfId="0" applyFont="1"/>
    <xf numFmtId="0" fontId="94" fillId="0" borderId="0" xfId="0" applyFont="1" applyAlignment="1">
      <alignment horizontal="center" vertical="center" wrapText="1"/>
    </xf>
    <xf numFmtId="0" fontId="94" fillId="0" borderId="0" xfId="0" applyFont="1"/>
    <xf numFmtId="0" fontId="94" fillId="0" borderId="0" xfId="0" applyFont="1" applyAlignment="1">
      <alignment wrapText="1"/>
    </xf>
    <xf numFmtId="0" fontId="57" fillId="0" borderId="0" xfId="0" applyFont="1" applyAlignment="1">
      <alignment wrapText="1"/>
    </xf>
    <xf numFmtId="0" fontId="94" fillId="0" borderId="0" xfId="0" applyFont="1" applyAlignment="1">
      <alignment horizontal="center" wrapText="1"/>
    </xf>
    <xf numFmtId="164" fontId="94" fillId="0" borderId="0" xfId="2" applyNumberFormat="1" applyFont="1" applyAlignment="1">
      <alignment horizontal="right"/>
    </xf>
    <xf numFmtId="164" fontId="57" fillId="0" borderId="0" xfId="2" applyNumberFormat="1" applyFont="1" applyAlignment="1">
      <alignment horizontal="right" wrapText="1"/>
    </xf>
    <xf numFmtId="164" fontId="94" fillId="0" borderId="0" xfId="2" applyNumberFormat="1" applyFont="1" applyAlignment="1">
      <alignment horizontal="right" vertical="center" wrapText="1"/>
    </xf>
    <xf numFmtId="164" fontId="57" fillId="0" borderId="0" xfId="2" applyNumberFormat="1" applyFont="1" applyAlignment="1">
      <alignment horizontal="right"/>
    </xf>
    <xf numFmtId="0" fontId="94" fillId="0" borderId="0" xfId="0" applyFont="1" applyAlignment="1">
      <alignment horizontal="center"/>
    </xf>
    <xf numFmtId="164" fontId="94" fillId="0" borderId="0" xfId="0" applyNumberFormat="1" applyFont="1" applyAlignment="1">
      <alignment horizontal="center"/>
    </xf>
    <xf numFmtId="0" fontId="93" fillId="0" borderId="0" xfId="0" applyFont="1"/>
    <xf numFmtId="164" fontId="57" fillId="0" borderId="0" xfId="0" applyNumberFormat="1" applyFont="1"/>
    <xf numFmtId="0" fontId="94" fillId="0" borderId="0" xfId="0" applyFont="1" applyAlignment="1">
      <alignment horizontal="left"/>
    </xf>
    <xf numFmtId="0" fontId="95" fillId="0" borderId="0" xfId="0" applyFont="1" applyAlignment="1">
      <alignment horizontal="left"/>
    </xf>
    <xf numFmtId="0" fontId="97" fillId="0" borderId="0" xfId="0" applyFont="1"/>
    <xf numFmtId="164" fontId="57" fillId="0" borderId="0" xfId="2" applyNumberFormat="1" applyFont="1"/>
    <xf numFmtId="9" fontId="57" fillId="0" borderId="0" xfId="1" applyFont="1"/>
    <xf numFmtId="0" fontId="93" fillId="0" borderId="0" xfId="0" applyFont="1" applyAlignment="1">
      <alignment horizontal="center"/>
    </xf>
    <xf numFmtId="0" fontId="57" fillId="2" borderId="0" xfId="0" applyFont="1" applyFill="1" applyAlignment="1">
      <alignment horizontal="centerContinuous" wrapText="1"/>
    </xf>
    <xf numFmtId="9" fontId="57" fillId="0" borderId="0" xfId="1" applyFont="1" applyAlignment="1">
      <alignment horizontal="center"/>
    </xf>
    <xf numFmtId="0" fontId="57" fillId="2" borderId="0" xfId="0" applyFont="1" applyFill="1" applyAlignment="1">
      <alignment horizontal="left"/>
    </xf>
    <xf numFmtId="0" fontId="93" fillId="0" borderId="0" xfId="0" applyFont="1" applyAlignment="1">
      <alignment horizontal="left" vertical="center"/>
    </xf>
    <xf numFmtId="0" fontId="57" fillId="0" borderId="0" xfId="0" applyFont="1" applyAlignment="1">
      <alignment horizontal="right" vertical="center"/>
    </xf>
    <xf numFmtId="9" fontId="57" fillId="0" borderId="0" xfId="1" applyFont="1" applyBorder="1" applyAlignment="1"/>
    <xf numFmtId="0" fontId="57" fillId="0" borderId="0" xfId="0" applyFont="1" applyAlignment="1">
      <alignment vertical="center" wrapText="1"/>
    </xf>
    <xf numFmtId="0" fontId="57" fillId="0" borderId="0" xfId="0" applyFont="1" applyAlignment="1">
      <alignment horizontal="center"/>
    </xf>
    <xf numFmtId="0" fontId="57" fillId="0" borderId="0" xfId="0" applyFont="1" applyAlignment="1">
      <alignment horizontal="left" vertical="center"/>
    </xf>
    <xf numFmtId="17" fontId="57" fillId="0" borderId="0" xfId="0" applyNumberFormat="1" applyFont="1" applyAlignment="1">
      <alignment horizontal="center" vertical="center" wrapText="1"/>
    </xf>
    <xf numFmtId="164" fontId="57" fillId="0" borderId="0" xfId="2" applyNumberFormat="1" applyFont="1" applyAlignment="1">
      <alignment horizontal="center" vertical="center" wrapText="1"/>
    </xf>
    <xf numFmtId="9" fontId="57" fillId="0" borderId="0" xfId="1" applyFont="1" applyBorder="1" applyAlignment="1">
      <alignment horizontal="center"/>
    </xf>
    <xf numFmtId="0" fontId="57" fillId="0" borderId="0" xfId="0" applyFont="1" applyAlignment="1">
      <alignment vertical="center"/>
    </xf>
    <xf numFmtId="9" fontId="57" fillId="0" borderId="0" xfId="1" applyFont="1" applyAlignment="1">
      <alignment horizontal="center" vertical="center" wrapText="1"/>
    </xf>
    <xf numFmtId="0" fontId="57" fillId="0" borderId="0" xfId="9" applyFont="1"/>
    <xf numFmtId="0" fontId="57" fillId="0" borderId="0" xfId="9" applyFont="1" applyAlignment="1">
      <alignment horizontal="left" vertical="center" wrapText="1"/>
    </xf>
    <xf numFmtId="0" fontId="57" fillId="0" borderId="0" xfId="9" applyFont="1" applyAlignment="1">
      <alignment vertical="center"/>
    </xf>
    <xf numFmtId="0" fontId="99" fillId="0" borderId="0" xfId="3" applyFont="1" applyAlignment="1">
      <alignment horizontal="left" vertical="center"/>
    </xf>
    <xf numFmtId="0" fontId="57" fillId="0" borderId="0" xfId="0" applyFont="1" applyAlignment="1">
      <alignment horizontal="right"/>
    </xf>
    <xf numFmtId="0" fontId="57" fillId="2" borderId="0" xfId="0" applyFont="1" applyFill="1"/>
    <xf numFmtId="43" fontId="57" fillId="0" borderId="0" xfId="0" applyNumberFormat="1" applyFont="1"/>
    <xf numFmtId="0" fontId="99" fillId="0" borderId="0" xfId="3" applyFont="1" applyAlignment="1">
      <alignment horizontal="left"/>
    </xf>
    <xf numFmtId="0" fontId="94" fillId="2" borderId="0" xfId="0" applyFont="1" applyFill="1" applyAlignment="1">
      <alignment horizontal="centerContinuous" wrapText="1"/>
    </xf>
    <xf numFmtId="0" fontId="57" fillId="2" borderId="0" xfId="0" applyFont="1" applyFill="1" applyAlignment="1">
      <alignment horizontal="centerContinuous"/>
    </xf>
    <xf numFmtId="0" fontId="93" fillId="5" borderId="0" xfId="0" applyFont="1" applyFill="1" applyAlignment="1">
      <alignment horizontal="left" vertical="center"/>
    </xf>
    <xf numFmtId="0" fontId="57" fillId="5" borderId="0" xfId="0" applyFont="1" applyFill="1" applyAlignment="1">
      <alignment horizontal="center" vertical="center" wrapText="1"/>
    </xf>
    <xf numFmtId="0" fontId="96" fillId="0" borderId="0" xfId="0" applyFont="1" applyAlignment="1">
      <alignment horizontal="center"/>
    </xf>
    <xf numFmtId="0" fontId="96" fillId="0" borderId="0" xfId="0" applyFont="1" applyAlignment="1">
      <alignment vertical="center"/>
    </xf>
    <xf numFmtId="0" fontId="100" fillId="0" borderId="0" xfId="0" applyFont="1" applyAlignment="1">
      <alignment horizontal="left"/>
    </xf>
    <xf numFmtId="0" fontId="101" fillId="0" borderId="0" xfId="0" applyFont="1" applyAlignment="1">
      <alignment horizontal="center"/>
    </xf>
    <xf numFmtId="1" fontId="57" fillId="0" borderId="0" xfId="0" applyNumberFormat="1" applyFont="1" applyAlignment="1">
      <alignment horizontal="center" vertical="center" wrapText="1"/>
    </xf>
    <xf numFmtId="164" fontId="94" fillId="0" borderId="0" xfId="0" applyNumberFormat="1" applyFont="1"/>
    <xf numFmtId="0" fontId="102" fillId="0" borderId="0" xfId="0" applyFont="1"/>
    <xf numFmtId="0" fontId="95" fillId="0" borderId="0" xfId="0" applyFont="1"/>
    <xf numFmtId="0" fontId="56" fillId="0" borderId="0" xfId="3" applyFont="1"/>
    <xf numFmtId="0" fontId="56" fillId="0" borderId="0" xfId="3" applyFont="1" applyAlignment="1">
      <alignment vertical="center"/>
    </xf>
    <xf numFmtId="0" fontId="96" fillId="0" borderId="0" xfId="0" applyFont="1" applyAlignment="1">
      <alignment wrapText="1"/>
    </xf>
    <xf numFmtId="0" fontId="103" fillId="0" borderId="0" xfId="0" applyFont="1" applyAlignment="1">
      <alignment wrapText="1"/>
    </xf>
    <xf numFmtId="9" fontId="89" fillId="0" borderId="0" xfId="1" applyFont="1"/>
    <xf numFmtId="167" fontId="57" fillId="0" borderId="0" xfId="0" applyNumberFormat="1" applyFont="1" applyAlignment="1">
      <alignment horizontal="right"/>
    </xf>
    <xf numFmtId="164" fontId="57" fillId="0" borderId="0" xfId="0" applyNumberFormat="1" applyFont="1" applyAlignment="1">
      <alignment horizontal="right"/>
    </xf>
    <xf numFmtId="9" fontId="94" fillId="0" borderId="0" xfId="1" applyFont="1"/>
    <xf numFmtId="0" fontId="104" fillId="0" borderId="0" xfId="0" applyFont="1"/>
    <xf numFmtId="0" fontId="97" fillId="0" borderId="0" xfId="0" applyFont="1" applyAlignment="1">
      <alignment horizontal="center"/>
    </xf>
    <xf numFmtId="0" fontId="105" fillId="11" borderId="9" xfId="0" applyFont="1" applyFill="1" applyBorder="1"/>
    <xf numFmtId="0" fontId="57" fillId="11" borderId="0" xfId="0" applyFont="1" applyFill="1"/>
    <xf numFmtId="0" fontId="57" fillId="11" borderId="0" xfId="0" applyFont="1" applyFill="1" applyAlignment="1">
      <alignment horizontal="right"/>
    </xf>
    <xf numFmtId="0" fontId="93" fillId="5" borderId="16" xfId="0" applyFont="1" applyFill="1" applyBorder="1" applyAlignment="1">
      <alignment horizontal="left" wrapText="1"/>
    </xf>
    <xf numFmtId="0" fontId="93" fillId="5" borderId="16" xfId="0" applyFont="1" applyFill="1" applyBorder="1" applyAlignment="1">
      <alignment horizontal="right" wrapText="1"/>
    </xf>
    <xf numFmtId="0" fontId="57" fillId="0" borderId="15" xfId="0" applyFont="1" applyBorder="1"/>
    <xf numFmtId="3" fontId="57" fillId="0" borderId="15" xfId="0" applyNumberFormat="1" applyFont="1" applyBorder="1" applyAlignment="1">
      <alignment horizontal="right"/>
    </xf>
    <xf numFmtId="0" fontId="102" fillId="0" borderId="0" xfId="0" applyFont="1" applyAlignment="1">
      <alignment horizontal="center"/>
    </xf>
    <xf numFmtId="0" fontId="106" fillId="0" borderId="0" xfId="0" applyFont="1" applyAlignment="1">
      <alignment vertical="center"/>
    </xf>
    <xf numFmtId="0" fontId="107" fillId="0" borderId="0" xfId="0" applyFont="1" applyAlignment="1">
      <alignment horizontal="left"/>
    </xf>
    <xf numFmtId="164" fontId="89" fillId="0" borderId="0" xfId="0" applyNumberFormat="1" applyFont="1" applyAlignment="1">
      <alignment horizontal="center"/>
    </xf>
    <xf numFmtId="164" fontId="89" fillId="0" borderId="0" xfId="2" applyNumberFormat="1" applyFont="1" applyFill="1" applyAlignment="1">
      <alignment horizontal="center"/>
    </xf>
    <xf numFmtId="171" fontId="89" fillId="0" borderId="0" xfId="0" applyNumberFormat="1" applyFont="1" applyAlignment="1">
      <alignment horizontal="right"/>
    </xf>
    <xf numFmtId="172" fontId="89" fillId="0" borderId="0" xfId="0" applyNumberFormat="1" applyFont="1" applyAlignment="1">
      <alignment horizontal="center"/>
    </xf>
    <xf numFmtId="172" fontId="12" fillId="0" borderId="0" xfId="0" applyNumberFormat="1" applyFont="1" applyAlignment="1">
      <alignment horizontal="center"/>
    </xf>
    <xf numFmtId="0" fontId="79" fillId="12" borderId="0" xfId="9" applyFont="1" applyFill="1"/>
    <xf numFmtId="0" fontId="108" fillId="0" borderId="0" xfId="9" applyFont="1" applyAlignment="1">
      <alignment horizontal="center" vertical="center" wrapText="1"/>
    </xf>
    <xf numFmtId="0" fontId="109" fillId="0" borderId="0" xfId="9" applyFont="1"/>
    <xf numFmtId="10" fontId="109" fillId="0" borderId="0" xfId="12" applyNumberFormat="1" applyFont="1"/>
    <xf numFmtId="165" fontId="87" fillId="0" borderId="0" xfId="9" applyNumberFormat="1" applyFont="1"/>
    <xf numFmtId="173" fontId="109" fillId="0" borderId="0" xfId="12" applyNumberFormat="1" applyFont="1" applyBorder="1" applyAlignment="1">
      <alignment horizontal="right"/>
    </xf>
    <xf numFmtId="2" fontId="87" fillId="0" borderId="0" xfId="12" applyNumberFormat="1" applyFont="1" applyBorder="1" applyAlignment="1">
      <alignment horizontal="right"/>
    </xf>
    <xf numFmtId="173" fontId="87" fillId="0" borderId="0" xfId="12" applyNumberFormat="1" applyFont="1" applyBorder="1" applyAlignment="1">
      <alignment horizontal="right"/>
    </xf>
    <xf numFmtId="164" fontId="92" fillId="0" borderId="0" xfId="9" applyNumberFormat="1" applyFont="1"/>
    <xf numFmtId="0" fontId="111" fillId="0" borderId="0" xfId="0" applyFont="1"/>
    <xf numFmtId="0" fontId="79" fillId="0" borderId="0" xfId="0" applyFont="1"/>
    <xf numFmtId="0" fontId="112" fillId="0" borderId="0" xfId="0" applyFont="1"/>
    <xf numFmtId="0" fontId="113" fillId="0" borderId="0" xfId="0" applyFont="1"/>
    <xf numFmtId="0" fontId="19" fillId="13" borderId="0" xfId="0" applyFont="1" applyFill="1"/>
    <xf numFmtId="0" fontId="0" fillId="13" borderId="0" xfId="0" applyFill="1"/>
    <xf numFmtId="0" fontId="0" fillId="0" borderId="0" xfId="0" applyAlignment="1">
      <alignment horizontal="center"/>
    </xf>
    <xf numFmtId="0" fontId="19" fillId="0" borderId="0" xfId="0" applyFont="1" applyAlignment="1">
      <alignment horizontal="left"/>
    </xf>
    <xf numFmtId="164" fontId="20" fillId="0" borderId="0" xfId="2" applyNumberFormat="1" applyFont="1"/>
    <xf numFmtId="9" fontId="0" fillId="0" borderId="0" xfId="1" applyFont="1" applyBorder="1"/>
    <xf numFmtId="9" fontId="27" fillId="0" borderId="0" xfId="1" applyFont="1" applyBorder="1" applyAlignment="1">
      <alignment horizontal="center"/>
    </xf>
    <xf numFmtId="0" fontId="27" fillId="0" borderId="0" xfId="0" applyFont="1" applyAlignment="1">
      <alignment horizontal="center" wrapText="1"/>
    </xf>
    <xf numFmtId="9" fontId="0" fillId="0" borderId="0" xfId="1" applyFont="1" applyAlignment="1">
      <alignment horizontal="center"/>
    </xf>
    <xf numFmtId="9" fontId="114" fillId="0" borderId="0" xfId="1" applyFont="1" applyAlignment="1">
      <alignment horizontal="center" wrapText="1"/>
    </xf>
    <xf numFmtId="9" fontId="15" fillId="0" borderId="0" xfId="1" applyFont="1" applyAlignment="1">
      <alignment horizontal="center" wrapText="1"/>
    </xf>
    <xf numFmtId="164" fontId="15" fillId="0" borderId="0" xfId="2" applyNumberFormat="1" applyFont="1"/>
    <xf numFmtId="9" fontId="15" fillId="0" borderId="0" xfId="1" applyFont="1" applyAlignment="1">
      <alignment horizontal="center"/>
    </xf>
    <xf numFmtId="0" fontId="19" fillId="12" borderId="0" xfId="0" applyFont="1" applyFill="1"/>
    <xf numFmtId="0" fontId="0" fillId="12" borderId="0" xfId="0" applyFill="1"/>
    <xf numFmtId="0" fontId="115" fillId="0" borderId="0" xfId="0" applyFont="1"/>
    <xf numFmtId="0" fontId="20" fillId="0" borderId="0" xfId="0" applyFont="1"/>
    <xf numFmtId="0" fontId="0" fillId="0" borderId="0" xfId="0" applyAlignment="1">
      <alignment vertical="center" wrapText="1"/>
    </xf>
    <xf numFmtId="0" fontId="116" fillId="0" borderId="0" xfId="0" applyFont="1"/>
    <xf numFmtId="0" fontId="0" fillId="0" borderId="3" xfId="0" applyBorder="1"/>
    <xf numFmtId="164" fontId="0" fillId="0" borderId="3" xfId="0" applyNumberFormat="1" applyBorder="1"/>
    <xf numFmtId="49" fontId="22" fillId="0" borderId="0" xfId="0" applyNumberFormat="1" applyFont="1" applyAlignment="1">
      <alignment vertical="center"/>
    </xf>
    <xf numFmtId="49" fontId="22" fillId="0" borderId="0" xfId="0" applyNumberFormat="1" applyFont="1" applyAlignment="1">
      <alignment horizontal="left" vertical="center"/>
    </xf>
    <xf numFmtId="0" fontId="0" fillId="0" borderId="0" xfId="2" applyNumberFormat="1" applyFont="1"/>
    <xf numFmtId="1" fontId="0" fillId="0" borderId="0" xfId="0" applyNumberFormat="1"/>
    <xf numFmtId="1" fontId="0" fillId="0" borderId="3" xfId="0" applyNumberFormat="1" applyBorder="1"/>
    <xf numFmtId="0" fontId="19" fillId="0" borderId="3" xfId="0" applyFont="1" applyBorder="1"/>
    <xf numFmtId="164" fontId="0" fillId="0" borderId="0" xfId="0" applyNumberFormat="1" applyAlignment="1">
      <alignment horizontal="right" wrapText="1"/>
    </xf>
    <xf numFmtId="0" fontId="0" fillId="0" borderId="0" xfId="0" applyAlignment="1">
      <alignment horizontal="right"/>
    </xf>
    <xf numFmtId="173" fontId="54" fillId="0" borderId="0" xfId="1" applyNumberFormat="1" applyFont="1" applyAlignment="1">
      <alignment horizontal="center"/>
    </xf>
    <xf numFmtId="0" fontId="62" fillId="0" borderId="3" xfId="0" applyFont="1" applyBorder="1"/>
    <xf numFmtId="0" fontId="20" fillId="0" borderId="3" xfId="1" applyNumberFormat="1" applyFont="1" applyBorder="1" applyAlignment="1">
      <alignment horizontal="center"/>
    </xf>
    <xf numFmtId="0" fontId="62" fillId="0" borderId="0" xfId="0" applyFont="1"/>
    <xf numFmtId="0" fontId="20" fillId="0" borderId="0" xfId="0" applyFont="1" applyAlignment="1">
      <alignment horizontal="right"/>
    </xf>
    <xf numFmtId="164" fontId="20" fillId="0" borderId="0" xfId="1" applyNumberFormat="1" applyFont="1" applyAlignment="1">
      <alignment horizontal="center"/>
    </xf>
    <xf numFmtId="165" fontId="0" fillId="0" borderId="3" xfId="0" applyNumberFormat="1" applyBorder="1" applyAlignment="1">
      <alignment horizontal="center"/>
    </xf>
    <xf numFmtId="164" fontId="19" fillId="0" borderId="0" xfId="0" applyNumberFormat="1" applyFont="1"/>
    <xf numFmtId="0" fontId="19" fillId="0" borderId="0" xfId="0" applyFont="1" applyAlignment="1">
      <alignment horizontal="right"/>
    </xf>
    <xf numFmtId="0" fontId="32" fillId="0" borderId="0" xfId="0" applyFont="1" applyAlignment="1">
      <alignment horizontal="right"/>
    </xf>
    <xf numFmtId="9" fontId="32" fillId="0" borderId="0" xfId="0" applyNumberFormat="1" applyFont="1"/>
    <xf numFmtId="0" fontId="19" fillId="0" borderId="3" xfId="0" applyFont="1" applyBorder="1" applyAlignment="1">
      <alignment horizontal="left"/>
    </xf>
    <xf numFmtId="3" fontId="0" fillId="0" borderId="0" xfId="0" applyNumberFormat="1"/>
    <xf numFmtId="164" fontId="117" fillId="0" borderId="0" xfId="5" applyNumberFormat="1" applyFont="1" applyFill="1" applyBorder="1" applyAlignment="1">
      <alignment horizontal="right" vertical="center"/>
    </xf>
    <xf numFmtId="14" fontId="0" fillId="0" borderId="0" xfId="0" applyNumberFormat="1" applyAlignment="1">
      <alignment horizontal="right"/>
    </xf>
    <xf numFmtId="0" fontId="19" fillId="14" borderId="0" xfId="0" applyFont="1" applyFill="1" applyAlignment="1">
      <alignment horizontal="left"/>
    </xf>
    <xf numFmtId="0" fontId="0" fillId="14" borderId="0" xfId="0" applyFill="1"/>
    <xf numFmtId="164" fontId="0" fillId="14" borderId="0" xfId="0" applyNumberFormat="1" applyFill="1"/>
    <xf numFmtId="17" fontId="15" fillId="0" borderId="0" xfId="0" applyNumberFormat="1" applyFont="1"/>
    <xf numFmtId="0" fontId="114" fillId="0" borderId="0" xfId="0" applyFont="1" applyAlignment="1">
      <alignment horizontal="right"/>
    </xf>
    <xf numFmtId="164" fontId="15" fillId="0" borderId="0" xfId="2" applyNumberFormat="1"/>
    <xf numFmtId="164" fontId="20" fillId="0" borderId="0" xfId="2" applyNumberFormat="1" applyFont="1" applyFill="1"/>
    <xf numFmtId="164" fontId="87" fillId="0" borderId="0" xfId="2" applyNumberFormat="1" applyFont="1" applyFill="1" applyBorder="1" applyAlignment="1">
      <alignment horizontal="center" vertical="center" wrapText="1"/>
    </xf>
    <xf numFmtId="17" fontId="0" fillId="0" borderId="0" xfId="0" applyNumberFormat="1"/>
    <xf numFmtId="164" fontId="20" fillId="0" borderId="0" xfId="2" applyNumberFormat="1" applyFont="1" applyFill="1" applyBorder="1"/>
    <xf numFmtId="0" fontId="21" fillId="0" borderId="0" xfId="3" applyAlignment="1">
      <alignment vertical="center"/>
    </xf>
    <xf numFmtId="0" fontId="21" fillId="0" borderId="0" xfId="3" applyAlignment="1">
      <alignment horizontal="left" vertical="center"/>
    </xf>
    <xf numFmtId="0" fontId="19" fillId="0" borderId="0" xfId="0" applyFont="1" applyAlignment="1">
      <alignment horizontal="left" vertical="center"/>
    </xf>
    <xf numFmtId="0" fontId="114" fillId="0" borderId="0" xfId="0" applyFont="1"/>
    <xf numFmtId="3" fontId="0" fillId="0" borderId="0" xfId="2" applyNumberFormat="1" applyFont="1"/>
    <xf numFmtId="164" fontId="20" fillId="0" borderId="0" xfId="0" applyNumberFormat="1" applyFont="1"/>
    <xf numFmtId="0" fontId="20" fillId="0" borderId="0" xfId="0" applyFont="1" applyAlignment="1">
      <alignment horizontal="left"/>
    </xf>
    <xf numFmtId="0" fontId="119" fillId="0" borderId="0" xfId="0" applyFont="1"/>
    <xf numFmtId="1" fontId="20" fillId="0" borderId="0" xfId="0" applyNumberFormat="1" applyFont="1"/>
    <xf numFmtId="0" fontId="19" fillId="14" borderId="0" xfId="0" applyFont="1" applyFill="1"/>
    <xf numFmtId="3" fontId="0" fillId="14" borderId="0" xfId="0" applyNumberFormat="1" applyFill="1"/>
    <xf numFmtId="167" fontId="19" fillId="0" borderId="0" xfId="0" applyNumberFormat="1" applyFont="1" applyAlignment="1">
      <alignment horizontal="center"/>
    </xf>
    <xf numFmtId="0" fontId="62" fillId="0" borderId="0" xfId="0" applyFont="1" applyAlignment="1">
      <alignment horizontal="center"/>
    </xf>
    <xf numFmtId="164" fontId="19" fillId="0" borderId="0" xfId="2" applyNumberFormat="1" applyFont="1" applyAlignment="1">
      <alignment horizontal="center"/>
    </xf>
    <xf numFmtId="164" fontId="18" fillId="0" borderId="0" xfId="0" applyNumberFormat="1" applyFont="1"/>
    <xf numFmtId="10" fontId="0" fillId="0" borderId="0" xfId="1" applyNumberFormat="1" applyFont="1"/>
    <xf numFmtId="173" fontId="0" fillId="0" borderId="0" xfId="1" applyNumberFormat="1" applyFont="1"/>
    <xf numFmtId="9" fontId="0" fillId="0" borderId="0" xfId="2" applyNumberFormat="1" applyFont="1"/>
    <xf numFmtId="38" fontId="0" fillId="0" borderId="0" xfId="0" applyNumberFormat="1"/>
    <xf numFmtId="164" fontId="0" fillId="5" borderId="0" xfId="0" applyNumberFormat="1" applyFill="1"/>
    <xf numFmtId="164" fontId="0" fillId="0" borderId="0" xfId="2" applyNumberFormat="1" applyFont="1" applyFill="1"/>
    <xf numFmtId="9" fontId="0" fillId="0" borderId="0" xfId="1" applyFont="1" applyFill="1"/>
    <xf numFmtId="9" fontId="20" fillId="0" borderId="0" xfId="1" applyFont="1" applyFill="1"/>
    <xf numFmtId="174" fontId="0" fillId="0" borderId="0" xfId="2" applyNumberFormat="1" applyFont="1" applyFill="1"/>
    <xf numFmtId="2" fontId="20" fillId="0" borderId="0" xfId="1" applyNumberFormat="1" applyFont="1" applyFill="1"/>
    <xf numFmtId="0" fontId="54" fillId="0" borderId="0" xfId="0" applyFont="1"/>
    <xf numFmtId="164" fontId="54" fillId="0" borderId="0" xfId="2" applyNumberFormat="1" applyFont="1" applyFill="1"/>
    <xf numFmtId="164" fontId="54" fillId="0" borderId="0" xfId="0" applyNumberFormat="1" applyFont="1"/>
    <xf numFmtId="0" fontId="0" fillId="0" borderId="0" xfId="0" applyAlignment="1">
      <alignment horizontal="right" wrapText="1"/>
    </xf>
    <xf numFmtId="2" fontId="0" fillId="0" borderId="0" xfId="0" applyNumberFormat="1"/>
    <xf numFmtId="0" fontId="21" fillId="0" borderId="0" xfId="3" applyFill="1"/>
    <xf numFmtId="0" fontId="120" fillId="0" borderId="0" xfId="0" applyFont="1" applyAlignment="1">
      <alignment horizontal="center" vertical="center" wrapText="1"/>
    </xf>
    <xf numFmtId="10" fontId="0" fillId="0" borderId="0" xfId="0" applyNumberFormat="1" applyAlignment="1">
      <alignment horizontal="center" vertical="center" wrapText="1"/>
    </xf>
    <xf numFmtId="10" fontId="0" fillId="0" borderId="0" xfId="0" applyNumberFormat="1"/>
    <xf numFmtId="0" fontId="114" fillId="0" borderId="0" xfId="0" applyFont="1" applyAlignment="1">
      <alignment horizontal="center"/>
    </xf>
    <xf numFmtId="0" fontId="121" fillId="0" borderId="0" xfId="0" applyFont="1"/>
    <xf numFmtId="164" fontId="20" fillId="0" borderId="0" xfId="2" applyNumberFormat="1" applyFont="1" applyBorder="1" applyAlignment="1">
      <alignment horizontal="center"/>
    </xf>
    <xf numFmtId="2" fontId="20" fillId="0" borderId="0" xfId="1" applyNumberFormat="1" applyFont="1" applyBorder="1" applyAlignment="1">
      <alignment horizontal="right"/>
    </xf>
    <xf numFmtId="173" fontId="20" fillId="0" borderId="0" xfId="1" applyNumberFormat="1" applyFont="1" applyBorder="1" applyAlignment="1">
      <alignment horizontal="center"/>
    </xf>
    <xf numFmtId="173" fontId="20" fillId="0" borderId="0" xfId="2" applyNumberFormat="1" applyFont="1" applyBorder="1" applyAlignment="1">
      <alignment horizontal="center"/>
    </xf>
    <xf numFmtId="173" fontId="20" fillId="0" borderId="0" xfId="1" applyNumberFormat="1" applyFont="1" applyBorder="1" applyAlignment="1">
      <alignment horizontal="right"/>
    </xf>
    <xf numFmtId="164" fontId="20" fillId="5" borderId="0" xfId="2" applyNumberFormat="1" applyFont="1" applyFill="1" applyBorder="1" applyAlignment="1">
      <alignment horizontal="center"/>
    </xf>
    <xf numFmtId="173" fontId="20" fillId="5" borderId="0" xfId="1" applyNumberFormat="1" applyFont="1" applyFill="1" applyBorder="1" applyAlignment="1">
      <alignment horizontal="center"/>
    </xf>
    <xf numFmtId="2" fontId="20" fillId="5" borderId="0" xfId="1" applyNumberFormat="1" applyFont="1" applyFill="1" applyBorder="1" applyAlignment="1">
      <alignment horizontal="right"/>
    </xf>
    <xf numFmtId="173" fontId="20" fillId="5" borderId="0" xfId="1" applyNumberFormat="1" applyFont="1" applyFill="1" applyBorder="1" applyAlignment="1">
      <alignment horizontal="right"/>
    </xf>
    <xf numFmtId="0" fontId="61" fillId="0" borderId="0" xfId="0" applyFont="1"/>
    <xf numFmtId="167" fontId="0" fillId="0" borderId="0" xfId="0" applyNumberFormat="1"/>
    <xf numFmtId="167" fontId="0" fillId="0" borderId="0" xfId="0" applyNumberFormat="1" applyAlignment="1">
      <alignment horizontal="center"/>
    </xf>
    <xf numFmtId="164" fontId="20" fillId="0" borderId="0" xfId="1" applyNumberFormat="1" applyFont="1" applyBorder="1" applyAlignment="1">
      <alignment horizontal="right"/>
    </xf>
    <xf numFmtId="3" fontId="0" fillId="5" borderId="0" xfId="0" applyNumberFormat="1" applyFill="1"/>
    <xf numFmtId="167" fontId="0" fillId="5" borderId="0" xfId="0" applyNumberFormat="1" applyFill="1"/>
    <xf numFmtId="164" fontId="20" fillId="5" borderId="0" xfId="1" applyNumberFormat="1" applyFont="1" applyFill="1" applyBorder="1" applyAlignment="1">
      <alignment horizontal="right"/>
    </xf>
    <xf numFmtId="173" fontId="19" fillId="5" borderId="0" xfId="1" applyNumberFormat="1" applyFont="1" applyFill="1"/>
    <xf numFmtId="164" fontId="62" fillId="5" borderId="0" xfId="2" applyNumberFormat="1" applyFont="1" applyFill="1" applyBorder="1" applyAlignment="1">
      <alignment horizontal="center"/>
    </xf>
    <xf numFmtId="2" fontId="62" fillId="5" borderId="0" xfId="1" applyNumberFormat="1" applyFont="1" applyFill="1" applyBorder="1" applyAlignment="1">
      <alignment horizontal="right"/>
    </xf>
    <xf numFmtId="173" fontId="62" fillId="5" borderId="0" xfId="1" applyNumberFormat="1" applyFont="1" applyFill="1" applyBorder="1" applyAlignment="1">
      <alignment horizontal="right"/>
    </xf>
    <xf numFmtId="0" fontId="0" fillId="0" borderId="0" xfId="1" applyNumberFormat="1" applyFont="1"/>
    <xf numFmtId="1" fontId="0" fillId="0" borderId="0" xfId="1" applyNumberFormat="1" applyFont="1"/>
    <xf numFmtId="3" fontId="0" fillId="0" borderId="0" xfId="0" applyNumberFormat="1" applyAlignment="1">
      <alignment horizontal="center" wrapText="1"/>
    </xf>
    <xf numFmtId="164" fontId="0" fillId="0" borderId="0" xfId="2" applyNumberFormat="1" applyFont="1" applyAlignment="1"/>
    <xf numFmtId="14" fontId="20" fillId="0" borderId="0" xfId="0" applyNumberFormat="1" applyFont="1"/>
    <xf numFmtId="14" fontId="0" fillId="0" borderId="0" xfId="2" applyNumberFormat="1" applyFont="1"/>
    <xf numFmtId="0" fontId="20" fillId="0" borderId="0" xfId="0" applyFont="1" applyAlignment="1">
      <alignment horizontal="center"/>
    </xf>
    <xf numFmtId="14" fontId="0" fillId="0" borderId="0" xfId="2" applyNumberFormat="1" applyFont="1" applyAlignment="1">
      <alignment horizontal="center"/>
    </xf>
    <xf numFmtId="3" fontId="20" fillId="0" borderId="0" xfId="0" applyNumberFormat="1" applyFont="1"/>
    <xf numFmtId="164" fontId="0" fillId="0" borderId="0" xfId="2" applyNumberFormat="1" applyFont="1" applyBorder="1"/>
    <xf numFmtId="14" fontId="0" fillId="0" borderId="0" xfId="0" applyNumberFormat="1" applyAlignment="1">
      <alignment horizontal="center"/>
    </xf>
    <xf numFmtId="17" fontId="20" fillId="0" borderId="0" xfId="0" applyNumberFormat="1" applyFont="1"/>
    <xf numFmtId="14" fontId="20" fillId="5" borderId="0" xfId="0" applyNumberFormat="1" applyFont="1" applyFill="1"/>
    <xf numFmtId="14" fontId="0" fillId="5" borderId="0" xfId="0" applyNumberFormat="1" applyFill="1" applyAlignment="1">
      <alignment horizontal="center"/>
    </xf>
    <xf numFmtId="3" fontId="0" fillId="0" borderId="0" xfId="0" applyNumberFormat="1" applyAlignment="1">
      <alignment horizontal="center"/>
    </xf>
    <xf numFmtId="3" fontId="0" fillId="0" borderId="0" xfId="0" applyNumberFormat="1" applyAlignment="1">
      <alignment horizontal="right"/>
    </xf>
    <xf numFmtId="0" fontId="122" fillId="0" borderId="0" xfId="0" applyFont="1"/>
    <xf numFmtId="164" fontId="31" fillId="0" borderId="0" xfId="2" applyNumberFormat="1" applyFont="1" applyBorder="1"/>
    <xf numFmtId="164" fontId="122" fillId="0" borderId="0" xfId="2" applyNumberFormat="1" applyFont="1" applyBorder="1" applyAlignment="1">
      <alignment horizontal="center"/>
    </xf>
    <xf numFmtId="0" fontId="31" fillId="0" borderId="0" xfId="0" applyFont="1"/>
    <xf numFmtId="0" fontId="123" fillId="0" borderId="0" xfId="0" applyFont="1" applyAlignment="1">
      <alignment horizontal="center"/>
    </xf>
    <xf numFmtId="0" fontId="124" fillId="0" borderId="0" xfId="0" applyFont="1" applyAlignment="1">
      <alignment horizontal="center"/>
    </xf>
    <xf numFmtId="9" fontId="20" fillId="0" borderId="0" xfId="1" applyFont="1"/>
    <xf numFmtId="0" fontId="20" fillId="0" borderId="3" xfId="0" applyFont="1" applyBorder="1"/>
    <xf numFmtId="9" fontId="20" fillId="0" borderId="0" xfId="1" applyFont="1" applyBorder="1"/>
    <xf numFmtId="0" fontId="125" fillId="0" borderId="0" xfId="0" applyFont="1"/>
    <xf numFmtId="0" fontId="64" fillId="0" borderId="0" xfId="0" applyFont="1"/>
    <xf numFmtId="0" fontId="126" fillId="0" borderId="0" xfId="0" applyFont="1"/>
    <xf numFmtId="0" fontId="127" fillId="0" borderId="0" xfId="0" applyFont="1"/>
    <xf numFmtId="0" fontId="128" fillId="0" borderId="0" xfId="0" applyFont="1"/>
    <xf numFmtId="0" fontId="65" fillId="0" borderId="0" xfId="0" applyFont="1"/>
    <xf numFmtId="17" fontId="0" fillId="0" borderId="3" xfId="0" applyNumberFormat="1" applyBorder="1"/>
    <xf numFmtId="0" fontId="128" fillId="0" borderId="3" xfId="0" applyFont="1" applyBorder="1"/>
    <xf numFmtId="0" fontId="65" fillId="0" borderId="3" xfId="0" applyFont="1" applyBorder="1"/>
    <xf numFmtId="3" fontId="0" fillId="0" borderId="3" xfId="0" applyNumberFormat="1" applyBorder="1"/>
    <xf numFmtId="17" fontId="129" fillId="0" borderId="0" xfId="0" applyNumberFormat="1" applyFont="1"/>
    <xf numFmtId="0" fontId="129" fillId="0" borderId="0" xfId="0" applyFont="1"/>
    <xf numFmtId="3" fontId="129" fillId="0" borderId="0" xfId="0" applyNumberFormat="1" applyFont="1"/>
    <xf numFmtId="17" fontId="129" fillId="0" borderId="3" xfId="0" applyNumberFormat="1" applyFont="1" applyBorder="1"/>
    <xf numFmtId="0" fontId="129" fillId="0" borderId="3" xfId="0" applyFont="1" applyBorder="1"/>
    <xf numFmtId="3" fontId="129" fillId="0" borderId="3" xfId="0" applyNumberFormat="1" applyFont="1" applyBorder="1"/>
    <xf numFmtId="17" fontId="0" fillId="0" borderId="1" xfId="0" applyNumberFormat="1" applyBorder="1"/>
    <xf numFmtId="0" fontId="0" fillId="0" borderId="1" xfId="0" applyBorder="1"/>
    <xf numFmtId="0" fontId="128" fillId="0" borderId="1" xfId="0" applyFont="1" applyBorder="1"/>
    <xf numFmtId="0" fontId="65" fillId="0" borderId="1" xfId="0" applyFont="1" applyBorder="1"/>
    <xf numFmtId="3" fontId="0" fillId="0" borderId="1" xfId="0" applyNumberFormat="1" applyBorder="1"/>
    <xf numFmtId="17" fontId="129" fillId="0" borderId="1" xfId="0" applyNumberFormat="1" applyFont="1" applyBorder="1"/>
    <xf numFmtId="0" fontId="129" fillId="0" borderId="1" xfId="0" applyFont="1" applyBorder="1"/>
    <xf numFmtId="3" fontId="129" fillId="0" borderId="1" xfId="0" applyNumberFormat="1" applyFont="1" applyBorder="1"/>
    <xf numFmtId="0" fontId="19" fillId="0" borderId="5" xfId="0" applyFont="1" applyBorder="1"/>
    <xf numFmtId="0" fontId="0" fillId="0" borderId="5" xfId="0" applyBorder="1"/>
    <xf numFmtId="164" fontId="130" fillId="0" borderId="0" xfId="2" applyNumberFormat="1" applyFont="1" applyFill="1" applyBorder="1" applyAlignment="1">
      <alignment horizontal="right"/>
    </xf>
    <xf numFmtId="164" fontId="0" fillId="0" borderId="0" xfId="2" applyNumberFormat="1" applyFont="1" applyAlignment="1">
      <alignment horizontal="right"/>
    </xf>
    <xf numFmtId="164" fontId="119" fillId="0" borderId="0" xfId="2" applyNumberFormat="1" applyFont="1"/>
    <xf numFmtId="1" fontId="0" fillId="0" borderId="0" xfId="2" applyNumberFormat="1" applyFont="1"/>
    <xf numFmtId="0" fontId="131" fillId="0" borderId="0" xfId="0" applyFont="1"/>
    <xf numFmtId="49" fontId="20" fillId="0" borderId="0" xfId="0" applyNumberFormat="1" applyFont="1" applyAlignment="1">
      <alignment horizontal="center"/>
    </xf>
    <xf numFmtId="49" fontId="20" fillId="0" borderId="0" xfId="0" applyNumberFormat="1" applyFont="1"/>
    <xf numFmtId="0" fontId="114" fillId="0" borderId="0" xfId="0" applyFont="1" applyAlignment="1">
      <alignment wrapText="1"/>
    </xf>
    <xf numFmtId="0" fontId="60" fillId="0" borderId="0" xfId="0" applyFont="1" applyAlignment="1">
      <alignment wrapText="1"/>
    </xf>
    <xf numFmtId="0" fontId="133" fillId="0" borderId="0" xfId="0" applyFont="1" applyAlignment="1">
      <alignment wrapText="1"/>
    </xf>
    <xf numFmtId="0" fontId="60" fillId="0" borderId="0" xfId="0" applyFont="1" applyAlignment="1">
      <alignment horizontal="center" wrapText="1"/>
    </xf>
    <xf numFmtId="0" fontId="133" fillId="0" borderId="0" xfId="0" applyFont="1" applyAlignment="1">
      <alignment horizontal="center" wrapText="1"/>
    </xf>
    <xf numFmtId="173" fontId="20" fillId="0" borderId="0" xfId="1" applyNumberFormat="1" applyFont="1" applyAlignment="1">
      <alignment horizontal="center"/>
    </xf>
    <xf numFmtId="176" fontId="20" fillId="0" borderId="0" xfId="0" applyNumberFormat="1" applyFont="1"/>
    <xf numFmtId="1" fontId="20" fillId="0" borderId="0" xfId="1" applyNumberFormat="1" applyFont="1"/>
    <xf numFmtId="177" fontId="0" fillId="0" borderId="0" xfId="0" applyNumberFormat="1"/>
    <xf numFmtId="2" fontId="20" fillId="0" borderId="0" xfId="0" applyNumberFormat="1" applyFont="1"/>
    <xf numFmtId="43" fontId="20" fillId="0" borderId="0" xfId="0" applyNumberFormat="1" applyFont="1"/>
    <xf numFmtId="43" fontId="20" fillId="0" borderId="0" xfId="2" applyFont="1"/>
    <xf numFmtId="0" fontId="58" fillId="0" borderId="0" xfId="0" applyFont="1" applyAlignment="1">
      <alignment horizontal="left"/>
    </xf>
    <xf numFmtId="0" fontId="19" fillId="0" borderId="5" xfId="0" applyFont="1" applyBorder="1" applyAlignment="1">
      <alignment horizontal="left"/>
    </xf>
    <xf numFmtId="0" fontId="0" fillId="0" borderId="5" xfId="0" applyBorder="1" applyAlignment="1">
      <alignment horizontal="center"/>
    </xf>
    <xf numFmtId="0" fontId="0" fillId="0" borderId="0" xfId="0" applyAlignment="1">
      <alignment horizontal="center" wrapText="1"/>
    </xf>
    <xf numFmtId="17" fontId="0" fillId="0" borderId="0" xfId="0" applyNumberFormat="1" applyAlignment="1">
      <alignment horizontal="center"/>
    </xf>
    <xf numFmtId="17" fontId="0" fillId="0" borderId="0" xfId="0" applyNumberFormat="1" applyAlignment="1">
      <alignment horizontal="center" wrapText="1"/>
    </xf>
    <xf numFmtId="166" fontId="0" fillId="0" borderId="0" xfId="0" applyNumberFormat="1" applyAlignment="1">
      <alignment horizontal="center"/>
    </xf>
    <xf numFmtId="166" fontId="20" fillId="0" borderId="0" xfId="0" applyNumberFormat="1" applyFont="1" applyAlignment="1">
      <alignment horizontal="center"/>
    </xf>
    <xf numFmtId="14" fontId="0" fillId="0" borderId="5" xfId="0" applyNumberFormat="1" applyBorder="1" applyAlignment="1">
      <alignment horizontal="center"/>
    </xf>
    <xf numFmtId="14" fontId="0" fillId="0" borderId="5" xfId="0" applyNumberFormat="1" applyBorder="1"/>
    <xf numFmtId="166" fontId="119" fillId="0" borderId="0" xfId="0" applyNumberFormat="1" applyFont="1" applyAlignment="1">
      <alignment horizontal="center"/>
    </xf>
    <xf numFmtId="14" fontId="119" fillId="0" borderId="0" xfId="0" applyNumberFormat="1" applyFont="1"/>
    <xf numFmtId="14" fontId="119" fillId="0" borderId="0" xfId="0" applyNumberFormat="1" applyFont="1" applyAlignment="1">
      <alignment horizontal="center"/>
    </xf>
    <xf numFmtId="0" fontId="119" fillId="0" borderId="0" xfId="0" applyFont="1" applyAlignment="1">
      <alignment horizontal="center"/>
    </xf>
    <xf numFmtId="14" fontId="20" fillId="0" borderId="0" xfId="0" applyNumberFormat="1" applyFont="1" applyAlignment="1">
      <alignment horizontal="center"/>
    </xf>
    <xf numFmtId="178" fontId="0" fillId="0" borderId="0" xfId="0" applyNumberFormat="1"/>
    <xf numFmtId="0" fontId="119" fillId="0" borderId="0" xfId="0" applyFont="1" applyAlignment="1">
      <alignment horizontal="left"/>
    </xf>
    <xf numFmtId="0" fontId="134" fillId="0" borderId="0" xfId="0" applyFont="1"/>
    <xf numFmtId="0" fontId="134" fillId="0" borderId="5" xfId="0" applyFont="1" applyBorder="1"/>
    <xf numFmtId="0" fontId="0" fillId="0" borderId="2" xfId="0" applyBorder="1" applyAlignment="1">
      <alignment horizontal="center"/>
    </xf>
    <xf numFmtId="14" fontId="0" fillId="0" borderId="2" xfId="0" applyNumberFormat="1" applyBorder="1" applyAlignment="1">
      <alignment horizontal="center"/>
    </xf>
    <xf numFmtId="0" fontId="38" fillId="0" borderId="0" xfId="0" applyFont="1" applyAlignment="1">
      <alignment horizontal="left" vertical="center"/>
    </xf>
    <xf numFmtId="0" fontId="35" fillId="0" borderId="0" xfId="0" applyFont="1" applyAlignment="1">
      <alignment horizontal="center" vertical="center" wrapText="1"/>
    </xf>
    <xf numFmtId="0" fontId="38" fillId="0" borderId="0" xfId="0" applyFont="1" applyAlignment="1">
      <alignment horizontal="center" vertical="center"/>
    </xf>
    <xf numFmtId="0" fontId="135" fillId="0" borderId="0" xfId="0" applyFont="1" applyAlignment="1">
      <alignment horizontal="center" vertical="center" wrapText="1"/>
    </xf>
    <xf numFmtId="0" fontId="24" fillId="0" borderId="0" xfId="0" applyFont="1" applyAlignment="1">
      <alignment horizontal="left" vertical="center"/>
    </xf>
    <xf numFmtId="14" fontId="24" fillId="0" borderId="0" xfId="0" applyNumberFormat="1" applyFont="1" applyAlignment="1">
      <alignment horizontal="center" vertical="center"/>
    </xf>
    <xf numFmtId="0" fontId="41" fillId="0" borderId="0" xfId="3" applyFont="1" applyAlignment="1">
      <alignment vertical="center"/>
    </xf>
    <xf numFmtId="17" fontId="35" fillId="0" borderId="0" xfId="0" applyNumberFormat="1" applyFont="1" applyAlignment="1">
      <alignment horizontal="right"/>
    </xf>
    <xf numFmtId="14" fontId="24" fillId="0" borderId="0" xfId="0" applyNumberFormat="1" applyFont="1" applyAlignment="1">
      <alignment horizontal="center" vertical="center" wrapText="1"/>
    </xf>
    <xf numFmtId="17" fontId="24" fillId="0" borderId="0" xfId="0" applyNumberFormat="1" applyFont="1" applyAlignment="1">
      <alignment horizontal="right" vertical="center"/>
    </xf>
    <xf numFmtId="0" fontId="13" fillId="12" borderId="0" xfId="9" applyFill="1"/>
    <xf numFmtId="173" fontId="13" fillId="0" borderId="0" xfId="9" applyNumberFormat="1"/>
    <xf numFmtId="9" fontId="13" fillId="0" borderId="0" xfId="9" applyNumberFormat="1"/>
    <xf numFmtId="2" fontId="13" fillId="0" borderId="0" xfId="9" applyNumberFormat="1"/>
    <xf numFmtId="164" fontId="10" fillId="0" borderId="0" xfId="10" applyNumberFormat="1" applyFont="1"/>
    <xf numFmtId="9" fontId="10" fillId="0" borderId="0" xfId="12" applyFont="1"/>
    <xf numFmtId="164" fontId="10" fillId="0" borderId="0" xfId="10" applyNumberFormat="1" applyFont="1" applyFill="1"/>
    <xf numFmtId="0" fontId="13" fillId="0" borderId="0" xfId="9" applyAlignment="1">
      <alignment horizontal="right"/>
    </xf>
    <xf numFmtId="0" fontId="13" fillId="0" borderId="0" xfId="9" applyAlignment="1">
      <alignment vertical="center" wrapText="1"/>
    </xf>
    <xf numFmtId="0" fontId="13" fillId="0" borderId="0" xfId="9" applyAlignment="1">
      <alignment horizontal="right" vertical="center" wrapText="1"/>
    </xf>
    <xf numFmtId="173" fontId="10" fillId="0" borderId="0" xfId="12" applyNumberFormat="1" applyFont="1" applyAlignment="1">
      <alignment horizontal="center" vertical="center" wrapText="1"/>
    </xf>
    <xf numFmtId="0" fontId="13" fillId="0" borderId="0" xfId="9" applyAlignment="1">
      <alignment horizontal="right" wrapText="1"/>
    </xf>
    <xf numFmtId="173" fontId="10" fillId="0" borderId="0" xfId="12" applyNumberFormat="1" applyFont="1" applyAlignment="1">
      <alignment horizontal="center"/>
    </xf>
    <xf numFmtId="10" fontId="13" fillId="0" borderId="0" xfId="9" applyNumberFormat="1" applyAlignment="1">
      <alignment horizontal="left" vertical="center"/>
    </xf>
    <xf numFmtId="10" fontId="13" fillId="0" borderId="0" xfId="9" applyNumberFormat="1" applyAlignment="1">
      <alignment horizontal="center" vertical="center" wrapText="1"/>
    </xf>
    <xf numFmtId="10" fontId="13" fillId="0" borderId="0" xfId="9" applyNumberFormat="1"/>
    <xf numFmtId="2" fontId="90" fillId="0" borderId="0" xfId="11" applyNumberFormat="1"/>
    <xf numFmtId="43" fontId="13" fillId="0" borderId="0" xfId="9" applyNumberFormat="1"/>
    <xf numFmtId="173" fontId="10" fillId="0" borderId="0" xfId="12" applyNumberFormat="1" applyFont="1" applyFill="1"/>
    <xf numFmtId="9" fontId="10" fillId="0" borderId="0" xfId="12" applyFont="1" applyFill="1"/>
    <xf numFmtId="165" fontId="13" fillId="0" borderId="0" xfId="12" applyNumberFormat="1" applyFont="1"/>
    <xf numFmtId="3" fontId="0" fillId="0" borderId="0" xfId="0" applyNumberFormat="1" applyAlignment="1">
      <alignment wrapText="1"/>
    </xf>
    <xf numFmtId="164" fontId="13" fillId="0" borderId="0" xfId="2" applyNumberFormat="1" applyFont="1"/>
    <xf numFmtId="0" fontId="0" fillId="0" borderId="0" xfId="0" applyAlignment="1">
      <alignment horizontal="left" wrapText="1"/>
    </xf>
    <xf numFmtId="164" fontId="57" fillId="0" borderId="0" xfId="0" applyNumberFormat="1" applyFont="1" applyAlignment="1">
      <alignment vertical="center" wrapText="1"/>
    </xf>
    <xf numFmtId="164" fontId="57" fillId="0" borderId="0" xfId="2" applyNumberFormat="1" applyFont="1" applyAlignment="1">
      <alignment vertical="center" wrapText="1"/>
    </xf>
    <xf numFmtId="0" fontId="93" fillId="0" borderId="0" xfId="0" applyFont="1" applyAlignment="1">
      <alignment horizontal="center" vertical="center"/>
    </xf>
    <xf numFmtId="0" fontId="93" fillId="0" borderId="0" xfId="0" applyFont="1" applyAlignment="1">
      <alignment vertical="center"/>
    </xf>
    <xf numFmtId="9" fontId="137" fillId="0" borderId="0" xfId="1" applyFont="1"/>
    <xf numFmtId="17" fontId="35" fillId="0" borderId="0" xfId="0" applyNumberFormat="1" applyFont="1"/>
    <xf numFmtId="0" fontId="137" fillId="0" borderId="0" xfId="0" applyFont="1"/>
    <xf numFmtId="164" fontId="138" fillId="0" borderId="0" xfId="0" applyNumberFormat="1" applyFont="1"/>
    <xf numFmtId="0" fontId="85" fillId="0" borderId="0" xfId="9" applyFont="1"/>
    <xf numFmtId="164" fontId="57" fillId="0" borderId="0" xfId="2" applyNumberFormat="1" applyFont="1" applyAlignment="1">
      <alignment horizontal="left" wrapText="1"/>
    </xf>
    <xf numFmtId="0" fontId="9" fillId="0" borderId="0" xfId="14"/>
    <xf numFmtId="0" fontId="140" fillId="15" borderId="0" xfId="14" applyFont="1" applyFill="1"/>
    <xf numFmtId="0" fontId="139" fillId="15" borderId="0" xfId="14" applyFont="1" applyFill="1"/>
    <xf numFmtId="0" fontId="89" fillId="0" borderId="0" xfId="14" applyFont="1"/>
    <xf numFmtId="0" fontId="87" fillId="0" borderId="0" xfId="14" applyFont="1" applyAlignment="1">
      <alignment wrapText="1"/>
    </xf>
    <xf numFmtId="0" fontId="89" fillId="0" borderId="0" xfId="14" applyFont="1" applyAlignment="1">
      <alignment horizontal="center"/>
    </xf>
    <xf numFmtId="164" fontId="9" fillId="0" borderId="0" xfId="14" applyNumberFormat="1"/>
    <xf numFmtId="0" fontId="79" fillId="5" borderId="0" xfId="0" applyFont="1" applyFill="1" applyAlignment="1">
      <alignment horizontal="left" vertical="center"/>
    </xf>
    <xf numFmtId="0" fontId="101" fillId="0" borderId="0" xfId="14" applyFont="1" applyAlignment="1">
      <alignment horizontal="left"/>
    </xf>
    <xf numFmtId="164" fontId="89" fillId="0" borderId="0" xfId="2" applyNumberFormat="1" applyFont="1" applyAlignment="1">
      <alignment horizontal="center"/>
    </xf>
    <xf numFmtId="164" fontId="33" fillId="4" borderId="13" xfId="4" applyNumberFormat="1"/>
    <xf numFmtId="176" fontId="33" fillId="4" borderId="13" xfId="4" applyNumberFormat="1"/>
    <xf numFmtId="0" fontId="0" fillId="0" borderId="0" xfId="0" applyAlignment="1">
      <alignment horizontal="left" vertical="center" indent="3"/>
    </xf>
    <xf numFmtId="0" fontId="13" fillId="5" borderId="0" xfId="0" applyFont="1" applyFill="1" applyAlignment="1">
      <alignment horizontal="center" vertical="center" wrapText="1"/>
    </xf>
    <xf numFmtId="43" fontId="13" fillId="0" borderId="0" xfId="0" applyNumberFormat="1" applyFont="1" applyAlignment="1">
      <alignment horizontal="center" vertical="center" wrapText="1"/>
    </xf>
    <xf numFmtId="1" fontId="13" fillId="0" borderId="0" xfId="0" applyNumberFormat="1" applyFont="1" applyAlignment="1">
      <alignment horizontal="center" vertical="center" wrapText="1"/>
    </xf>
    <xf numFmtId="9" fontId="13" fillId="0" borderId="0" xfId="0" applyNumberFormat="1" applyFont="1" applyAlignment="1">
      <alignment horizontal="center" vertical="center" wrapText="1"/>
    </xf>
    <xf numFmtId="164" fontId="81" fillId="0" borderId="0" xfId="2" applyNumberFormat="1" applyFont="1" applyFill="1" applyAlignment="1">
      <alignment horizontal="center" vertical="center" wrapText="1"/>
    </xf>
    <xf numFmtId="1" fontId="77" fillId="0" borderId="0" xfId="0" applyNumberFormat="1" applyFont="1" applyAlignment="1">
      <alignment horizontal="center" vertical="center" wrapText="1"/>
    </xf>
    <xf numFmtId="9" fontId="82" fillId="0" borderId="0" xfId="1" applyFont="1" applyFill="1" applyAlignment="1">
      <alignment horizontal="center" vertical="center" wrapText="1"/>
    </xf>
    <xf numFmtId="164" fontId="83" fillId="0" borderId="0" xfId="2" applyNumberFormat="1" applyFont="1" applyFill="1" applyAlignment="1">
      <alignment horizontal="center" vertical="center" wrapText="1"/>
    </xf>
    <xf numFmtId="3" fontId="84" fillId="0" borderId="0" xfId="0" applyNumberFormat="1" applyFont="1" applyAlignment="1">
      <alignment horizontal="center" vertical="center" wrapText="1"/>
    </xf>
    <xf numFmtId="3" fontId="77" fillId="0" borderId="0" xfId="0" applyNumberFormat="1" applyFont="1" applyAlignment="1">
      <alignment horizontal="center" vertical="center" wrapText="1"/>
    </xf>
    <xf numFmtId="14" fontId="13" fillId="0" borderId="0" xfId="0" applyNumberFormat="1" applyFont="1" applyAlignment="1">
      <alignment horizontal="center" vertical="center" wrapText="1"/>
    </xf>
    <xf numFmtId="0" fontId="143" fillId="0" borderId="0" xfId="0" applyFont="1" applyAlignment="1">
      <alignment horizontal="left" vertical="center"/>
    </xf>
    <xf numFmtId="9" fontId="13" fillId="5" borderId="0" xfId="1" applyFont="1" applyFill="1" applyAlignment="1">
      <alignment horizontal="right" vertical="center"/>
    </xf>
    <xf numFmtId="164" fontId="13" fillId="5" borderId="0" xfId="2" applyNumberFormat="1" applyFont="1" applyFill="1" applyAlignment="1">
      <alignment horizontal="center" vertical="center" wrapText="1"/>
    </xf>
    <xf numFmtId="169" fontId="13" fillId="0" borderId="0" xfId="1" applyNumberFormat="1" applyFont="1" applyAlignment="1">
      <alignment horizontal="right" vertical="center"/>
    </xf>
    <xf numFmtId="9" fontId="13" fillId="0" borderId="0" xfId="1" applyFont="1" applyAlignment="1">
      <alignment horizontal="center" vertical="center" wrapText="1"/>
    </xf>
    <xf numFmtId="170" fontId="13" fillId="0" borderId="0" xfId="1" applyNumberFormat="1" applyFont="1" applyAlignment="1">
      <alignment horizontal="right" vertical="center"/>
    </xf>
    <xf numFmtId="164" fontId="13" fillId="0" borderId="0" xfId="2" applyNumberFormat="1" applyFont="1" applyFill="1" applyAlignment="1">
      <alignment horizontal="center" vertical="center" wrapText="1"/>
    </xf>
    <xf numFmtId="0" fontId="98" fillId="5" borderId="0" xfId="14" applyFont="1" applyFill="1"/>
    <xf numFmtId="0" fontId="13" fillId="0" borderId="0" xfId="0" applyFont="1" applyAlignment="1">
      <alignment horizontal="right" vertical="center"/>
    </xf>
    <xf numFmtId="0" fontId="98" fillId="5" borderId="0" xfId="14" applyFont="1" applyFill="1" applyAlignment="1">
      <alignment horizontal="left"/>
    </xf>
    <xf numFmtId="0" fontId="87" fillId="0" borderId="0" xfId="14" applyFont="1" applyAlignment="1">
      <alignment horizontal="left"/>
    </xf>
    <xf numFmtId="0" fontId="33" fillId="4" borderId="13" xfId="15" applyFont="1" applyAlignment="1">
      <alignment horizontal="center" vertical="center" wrapText="1"/>
    </xf>
    <xf numFmtId="171" fontId="13" fillId="0" borderId="0" xfId="0" applyNumberFormat="1" applyFont="1" applyAlignment="1">
      <alignment horizontal="right" vertical="center" wrapText="1"/>
    </xf>
    <xf numFmtId="0" fontId="13" fillId="3" borderId="0" xfId="0" applyFont="1" applyFill="1" applyAlignment="1">
      <alignment horizontal="center" vertical="center" wrapText="1"/>
    </xf>
    <xf numFmtId="0" fontId="85" fillId="0" borderId="0" xfId="9" applyFont="1" applyAlignment="1">
      <alignment wrapText="1"/>
    </xf>
    <xf numFmtId="0" fontId="95" fillId="5" borderId="0" xfId="0" applyFont="1" applyFill="1" applyAlignment="1">
      <alignment horizontal="left"/>
    </xf>
    <xf numFmtId="0" fontId="93" fillId="0" borderId="0" xfId="0" applyFont="1" applyAlignment="1">
      <alignment wrapText="1"/>
    </xf>
    <xf numFmtId="0" fontId="91" fillId="3" borderId="0" xfId="0" applyFont="1" applyFill="1" applyAlignment="1">
      <alignment horizontal="left" vertical="center" wrapText="1"/>
    </xf>
    <xf numFmtId="0" fontId="98" fillId="0" borderId="0" xfId="0" applyFont="1" applyAlignment="1">
      <alignment horizontal="left" vertical="center"/>
    </xf>
    <xf numFmtId="37" fontId="13" fillId="0" borderId="0" xfId="2" applyNumberFormat="1" applyFont="1" applyAlignment="1">
      <alignment horizontal="center" vertical="center" wrapText="1"/>
    </xf>
    <xf numFmtId="0" fontId="8" fillId="2" borderId="9" xfId="0" applyFont="1" applyFill="1" applyBorder="1"/>
    <xf numFmtId="0" fontId="8" fillId="2" borderId="0" xfId="0" applyFont="1" applyFill="1"/>
    <xf numFmtId="0" fontId="144" fillId="2" borderId="0" xfId="0" applyFont="1" applyFill="1"/>
    <xf numFmtId="14" fontId="8" fillId="2" borderId="0" xfId="0" applyNumberFormat="1" applyFont="1" applyFill="1"/>
    <xf numFmtId="0" fontId="146" fillId="2" borderId="3" xfId="0" applyFont="1" applyFill="1" applyBorder="1"/>
    <xf numFmtId="0" fontId="13" fillId="2" borderId="0" xfId="0" applyFont="1" applyFill="1" applyAlignment="1">
      <alignment horizontal="left" vertical="top" wrapText="1"/>
    </xf>
    <xf numFmtId="0" fontId="13" fillId="2" borderId="0" xfId="0" applyFont="1" applyFill="1" applyAlignment="1">
      <alignment horizontal="left" vertical="top"/>
    </xf>
    <xf numFmtId="0" fontId="8" fillId="2" borderId="3" xfId="0" applyFont="1" applyFill="1" applyBorder="1"/>
    <xf numFmtId="0" fontId="13" fillId="2" borderId="0" xfId="0" applyFont="1" applyFill="1"/>
    <xf numFmtId="0" fontId="13" fillId="2" borderId="0" xfId="0" applyFont="1" applyFill="1" applyAlignment="1">
      <alignment vertical="top" wrapText="1"/>
    </xf>
    <xf numFmtId="0" fontId="145" fillId="2" borderId="0" xfId="3" applyFont="1" applyFill="1" applyAlignment="1">
      <alignment horizontal="left" vertical="top"/>
    </xf>
    <xf numFmtId="0" fontId="8" fillId="2" borderId="11" xfId="0" applyFont="1" applyFill="1" applyBorder="1"/>
    <xf numFmtId="0" fontId="8" fillId="2" borderId="5" xfId="0" applyFont="1" applyFill="1" applyBorder="1"/>
    <xf numFmtId="0" fontId="93" fillId="0" borderId="0" xfId="0" applyFont="1" applyAlignment="1">
      <alignment horizontal="left"/>
    </xf>
    <xf numFmtId="0" fontId="22" fillId="0" borderId="0" xfId="0" applyFont="1" applyAlignment="1">
      <alignment horizontal="center"/>
    </xf>
    <xf numFmtId="0" fontId="57" fillId="0" borderId="0" xfId="0" applyFont="1" applyAlignment="1">
      <alignment horizontal="center" wrapText="1"/>
    </xf>
    <xf numFmtId="9" fontId="22" fillId="0" borderId="0" xfId="1" applyFont="1" applyAlignment="1">
      <alignment horizontal="center"/>
    </xf>
    <xf numFmtId="0" fontId="148" fillId="0" borderId="0" xfId="18" applyFont="1"/>
    <xf numFmtId="0" fontId="8" fillId="0" borderId="0" xfId="18"/>
    <xf numFmtId="0" fontId="149" fillId="0" borderId="0" xfId="18" applyFont="1" applyAlignment="1">
      <alignment horizontal="left" vertical="center" readingOrder="1"/>
    </xf>
    <xf numFmtId="0" fontId="150" fillId="0" borderId="0" xfId="18" applyFont="1"/>
    <xf numFmtId="0" fontId="151" fillId="0" borderId="0" xfId="18" applyFont="1" applyAlignment="1">
      <alignment horizontal="left" vertical="center" readingOrder="1"/>
    </xf>
    <xf numFmtId="0" fontId="152" fillId="0" borderId="0" xfId="18" applyFont="1" applyAlignment="1">
      <alignment horizontal="left" vertical="center" readingOrder="1"/>
    </xf>
    <xf numFmtId="0" fontId="150" fillId="0" borderId="0" xfId="18" applyFont="1" applyAlignment="1">
      <alignment horizontal="right" vertical="center" readingOrder="1"/>
    </xf>
    <xf numFmtId="0" fontId="109" fillId="0" borderId="0" xfId="0" applyFont="1" applyAlignment="1">
      <alignment horizontal="center" vertical="center" wrapText="1"/>
    </xf>
    <xf numFmtId="164" fontId="109" fillId="0" borderId="0" xfId="2" applyNumberFormat="1" applyFont="1" applyAlignment="1">
      <alignment horizontal="center" vertical="center" wrapText="1"/>
    </xf>
    <xf numFmtId="37" fontId="109" fillId="0" borderId="0" xfId="2" applyNumberFormat="1" applyFont="1" applyAlignment="1">
      <alignment horizontal="center" vertical="center" wrapText="1"/>
    </xf>
    <xf numFmtId="0" fontId="109" fillId="0" borderId="0" xfId="0" applyFont="1" applyAlignment="1">
      <alignment horizontal="right" vertical="center"/>
    </xf>
    <xf numFmtId="0" fontId="87" fillId="0" borderId="0" xfId="0" applyFont="1" applyAlignment="1">
      <alignment horizontal="left" vertical="center" wrapText="1"/>
    </xf>
    <xf numFmtId="14" fontId="21" fillId="2" borderId="0" xfId="3" applyNumberFormat="1" applyFill="1"/>
    <xf numFmtId="0" fontId="7" fillId="0" borderId="0" xfId="18" applyFont="1"/>
    <xf numFmtId="9" fontId="57" fillId="0" borderId="0" xfId="1" applyFont="1" applyAlignment="1">
      <alignment horizontal="center" vertical="center"/>
    </xf>
    <xf numFmtId="0" fontId="82" fillId="0" borderId="0" xfId="0" applyFont="1" applyAlignment="1">
      <alignment horizontal="left" vertical="center"/>
    </xf>
    <xf numFmtId="0" fontId="82" fillId="0" borderId="0" xfId="0" applyFont="1" applyAlignment="1">
      <alignment horizontal="center" vertical="center" wrapText="1"/>
    </xf>
    <xf numFmtId="0" fontId="21" fillId="0" borderId="0" xfId="3" applyAlignment="1">
      <alignment horizontal="left"/>
    </xf>
    <xf numFmtId="164" fontId="13" fillId="0" borderId="0" xfId="2" applyNumberFormat="1" applyFont="1" applyAlignment="1">
      <alignment horizontal="right" vertical="center" wrapText="1"/>
    </xf>
    <xf numFmtId="164" fontId="87" fillId="0" borderId="0" xfId="2" applyNumberFormat="1" applyFont="1" applyAlignment="1">
      <alignment horizontal="center" vertical="center" wrapText="1"/>
    </xf>
    <xf numFmtId="14" fontId="141" fillId="4" borderId="13" xfId="15" applyNumberFormat="1" applyAlignment="1">
      <alignment horizontal="center" vertical="center" wrapText="1"/>
    </xf>
    <xf numFmtId="180" fontId="13" fillId="0" borderId="0" xfId="0" applyNumberFormat="1" applyFont="1" applyAlignment="1">
      <alignment horizontal="center" vertical="center" wrapText="1"/>
    </xf>
    <xf numFmtId="0" fontId="87" fillId="0" borderId="0" xfId="0" applyFont="1" applyAlignment="1">
      <alignment horizontal="right" vertical="center"/>
    </xf>
    <xf numFmtId="0" fontId="6" fillId="0" borderId="0" xfId="18" applyFont="1"/>
    <xf numFmtId="0" fontId="22" fillId="0" borderId="3" xfId="0" applyFont="1" applyBorder="1"/>
    <xf numFmtId="0" fontId="22" fillId="0" borderId="3" xfId="0" applyFont="1" applyBorder="1" applyAlignment="1">
      <alignment horizontal="center"/>
    </xf>
    <xf numFmtId="9" fontId="22" fillId="0" borderId="3" xfId="1" applyFont="1" applyBorder="1" applyAlignment="1">
      <alignment horizontal="center"/>
    </xf>
    <xf numFmtId="0" fontId="154" fillId="0" borderId="0" xfId="0" applyFont="1"/>
    <xf numFmtId="164" fontId="154" fillId="0" borderId="0" xfId="2" applyNumberFormat="1" applyFont="1" applyAlignment="1">
      <alignment horizontal="right"/>
    </xf>
    <xf numFmtId="164" fontId="154" fillId="0" borderId="0" xfId="2" applyNumberFormat="1" applyFont="1"/>
    <xf numFmtId="0" fontId="88" fillId="0" borderId="0" xfId="0" applyFont="1"/>
    <xf numFmtId="0" fontId="89" fillId="0" borderId="0" xfId="0" applyFont="1" applyAlignment="1">
      <alignment wrapText="1"/>
    </xf>
    <xf numFmtId="0" fontId="13" fillId="0" borderId="0" xfId="0" applyFont="1"/>
    <xf numFmtId="0" fontId="98" fillId="0" borderId="0" xfId="0" applyFont="1" applyAlignment="1">
      <alignment horizontal="left" wrapText="1"/>
    </xf>
    <xf numFmtId="0" fontId="79" fillId="0" borderId="0" xfId="0" applyFont="1" applyAlignment="1">
      <alignment wrapText="1"/>
    </xf>
    <xf numFmtId="0" fontId="79" fillId="0" borderId="0" xfId="0" applyFont="1" applyAlignment="1">
      <alignment horizontal="center" wrapText="1"/>
    </xf>
    <xf numFmtId="0" fontId="98" fillId="0" borderId="0" xfId="0" applyFont="1" applyAlignment="1">
      <alignment horizontal="left"/>
    </xf>
    <xf numFmtId="0" fontId="90" fillId="0" borderId="0" xfId="20" applyFont="1"/>
    <xf numFmtId="175" fontId="13" fillId="0" borderId="0" xfId="0" applyNumberFormat="1" applyFont="1" applyAlignment="1">
      <alignment horizontal="center"/>
    </xf>
    <xf numFmtId="15" fontId="13" fillId="0" borderId="0" xfId="0" applyNumberFormat="1" applyFont="1"/>
    <xf numFmtId="17" fontId="13" fillId="0" borderId="0" xfId="0" applyNumberFormat="1" applyFont="1" applyAlignment="1">
      <alignment horizontal="center"/>
    </xf>
    <xf numFmtId="0" fontId="13" fillId="0" borderId="0" xfId="0" applyFont="1" applyAlignment="1">
      <alignment horizontal="center"/>
    </xf>
    <xf numFmtId="0" fontId="13" fillId="0" borderId="0" xfId="0" applyFont="1" applyAlignment="1">
      <alignment horizontal="right"/>
    </xf>
    <xf numFmtId="0" fontId="5" fillId="0" borderId="0" xfId="0" applyFont="1" applyAlignment="1">
      <alignment horizontal="center"/>
    </xf>
    <xf numFmtId="0" fontId="101" fillId="0" borderId="0" xfId="0" applyFont="1"/>
    <xf numFmtId="0" fontId="101" fillId="0" borderId="0" xfId="0" applyFont="1" applyAlignment="1">
      <alignment horizontal="left"/>
    </xf>
    <xf numFmtId="1" fontId="13" fillId="0" borderId="0" xfId="0" applyNumberFormat="1" applyFont="1"/>
    <xf numFmtId="164" fontId="87" fillId="0" borderId="0" xfId="2" applyNumberFormat="1" applyFont="1" applyAlignment="1">
      <alignment horizontal="left"/>
    </xf>
    <xf numFmtId="164" fontId="87" fillId="0" borderId="0" xfId="2" applyNumberFormat="1" applyFont="1" applyAlignment="1">
      <alignment horizontal="center"/>
    </xf>
    <xf numFmtId="0" fontId="87" fillId="0" borderId="0" xfId="14" applyFont="1" applyAlignment="1">
      <alignment horizontal="right"/>
    </xf>
    <xf numFmtId="0" fontId="13" fillId="0" borderId="0" xfId="14" applyFont="1"/>
    <xf numFmtId="0" fontId="87" fillId="0" borderId="0" xfId="14" applyFont="1"/>
    <xf numFmtId="0" fontId="13" fillId="0" borderId="0" xfId="14" applyFont="1" applyAlignment="1">
      <alignment wrapText="1"/>
    </xf>
    <xf numFmtId="176" fontId="13" fillId="0" borderId="0" xfId="14" applyNumberFormat="1" applyFont="1"/>
    <xf numFmtId="0" fontId="98" fillId="0" borderId="0" xfId="14" applyFont="1"/>
    <xf numFmtId="164" fontId="13" fillId="0" borderId="0" xfId="14" applyNumberFormat="1" applyFont="1"/>
    <xf numFmtId="0" fontId="79" fillId="0" borderId="0" xfId="14" applyFont="1"/>
    <xf numFmtId="0" fontId="98" fillId="0" borderId="0" xfId="14" applyFont="1" applyAlignment="1">
      <alignment horizontal="centerContinuous"/>
    </xf>
    <xf numFmtId="0" fontId="79" fillId="0" borderId="0" xfId="14" applyFont="1" applyAlignment="1">
      <alignment horizontal="centerContinuous"/>
    </xf>
    <xf numFmtId="0" fontId="87" fillId="0" borderId="0" xfId="14" applyFont="1" applyAlignment="1">
      <alignment horizontal="center"/>
    </xf>
    <xf numFmtId="164" fontId="33" fillId="4" borderId="17" xfId="4" applyNumberFormat="1" applyBorder="1"/>
    <xf numFmtId="164" fontId="33" fillId="4" borderId="20" xfId="4" applyNumberFormat="1" applyBorder="1"/>
    <xf numFmtId="0" fontId="13" fillId="0" borderId="18" xfId="0" applyFont="1" applyBorder="1" applyAlignment="1">
      <alignment vertical="center" wrapText="1"/>
    </xf>
    <xf numFmtId="164" fontId="13" fillId="0" borderId="19" xfId="14" applyNumberFormat="1" applyFont="1" applyBorder="1"/>
    <xf numFmtId="0" fontId="156" fillId="0" borderId="0" xfId="21" applyFont="1"/>
    <xf numFmtId="0" fontId="155" fillId="0" borderId="0" xfId="21" applyFont="1"/>
    <xf numFmtId="0" fontId="156" fillId="0" borderId="0" xfId="21" applyFont="1" applyAlignment="1">
      <alignment horizontal="center"/>
    </xf>
    <xf numFmtId="0" fontId="155" fillId="0" borderId="0" xfId="21" applyFont="1" applyAlignment="1">
      <alignment horizontal="left"/>
    </xf>
    <xf numFmtId="0" fontId="155" fillId="0" borderId="0" xfId="21" applyFont="1" applyAlignment="1">
      <alignment horizontal="center"/>
    </xf>
    <xf numFmtId="0" fontId="81" fillId="0" borderId="0" xfId="21" applyFont="1" applyAlignment="1">
      <alignment horizontal="center" vertical="center" wrapText="1"/>
    </xf>
    <xf numFmtId="0" fontId="157" fillId="0" borderId="0" xfId="21" applyFont="1" applyAlignment="1">
      <alignment horizontal="left"/>
    </xf>
    <xf numFmtId="0" fontId="158" fillId="0" borderId="0" xfId="21" applyFont="1" applyAlignment="1">
      <alignment horizontal="center" vertical="center" wrapText="1"/>
    </xf>
    <xf numFmtId="0" fontId="158" fillId="0" borderId="0" xfId="21" applyFont="1" applyAlignment="1">
      <alignment horizontal="center" vertical="center"/>
    </xf>
    <xf numFmtId="164" fontId="156" fillId="0" borderId="0" xfId="22" applyNumberFormat="1" applyFont="1" applyFill="1" applyBorder="1" applyAlignment="1">
      <alignment horizontal="center"/>
    </xf>
    <xf numFmtId="0" fontId="157" fillId="0" borderId="0" xfId="21" applyFont="1"/>
    <xf numFmtId="0" fontId="156" fillId="0" borderId="6" xfId="21" applyFont="1" applyBorder="1" applyAlignment="1">
      <alignment horizontal="center"/>
    </xf>
    <xf numFmtId="0" fontId="157" fillId="0" borderId="7" xfId="21" applyFont="1" applyBorder="1"/>
    <xf numFmtId="3" fontId="156" fillId="0" borderId="7" xfId="21" applyNumberFormat="1" applyFont="1" applyBorder="1" applyAlignment="1">
      <alignment horizontal="center"/>
    </xf>
    <xf numFmtId="3" fontId="156" fillId="0" borderId="8" xfId="21" applyNumberFormat="1" applyFont="1" applyBorder="1" applyAlignment="1">
      <alignment horizontal="center"/>
    </xf>
    <xf numFmtId="3" fontId="156" fillId="0" borderId="6" xfId="21" applyNumberFormat="1" applyFont="1" applyBorder="1" applyAlignment="1">
      <alignment horizontal="center"/>
    </xf>
    <xf numFmtId="0" fontId="156" fillId="0" borderId="9" xfId="21" applyFont="1" applyBorder="1" applyAlignment="1">
      <alignment horizontal="center"/>
    </xf>
    <xf numFmtId="3" fontId="156" fillId="0" borderId="0" xfId="21" applyNumberFormat="1" applyFont="1" applyAlignment="1">
      <alignment horizontal="center"/>
    </xf>
    <xf numFmtId="3" fontId="156" fillId="0" borderId="10" xfId="21" applyNumberFormat="1" applyFont="1" applyBorder="1" applyAlignment="1">
      <alignment horizontal="center"/>
    </xf>
    <xf numFmtId="3" fontId="156" fillId="0" borderId="9" xfId="21" applyNumberFormat="1" applyFont="1" applyBorder="1" applyAlignment="1">
      <alignment horizontal="center"/>
    </xf>
    <xf numFmtId="3" fontId="156" fillId="0" borderId="0" xfId="21" applyNumberFormat="1" applyFont="1"/>
    <xf numFmtId="0" fontId="160" fillId="0" borderId="6" xfId="21" applyFont="1" applyBorder="1" applyAlignment="1">
      <alignment horizontal="center"/>
    </xf>
    <xf numFmtId="3" fontId="160" fillId="0" borderId="7" xfId="21" applyNumberFormat="1" applyFont="1" applyBorder="1" applyAlignment="1">
      <alignment horizontal="center"/>
    </xf>
    <xf numFmtId="3" fontId="160" fillId="0" borderId="8" xfId="21" applyNumberFormat="1" applyFont="1" applyBorder="1" applyAlignment="1">
      <alignment horizontal="center"/>
    </xf>
    <xf numFmtId="3" fontId="160" fillId="0" borderId="6" xfId="21" applyNumberFormat="1" applyFont="1" applyBorder="1" applyAlignment="1">
      <alignment horizontal="center"/>
    </xf>
    <xf numFmtId="0" fontId="160" fillId="0" borderId="9" xfId="21" applyFont="1" applyBorder="1" applyAlignment="1">
      <alignment horizontal="center"/>
    </xf>
    <xf numFmtId="0" fontId="160" fillId="0" borderId="0" xfId="21" applyFont="1" applyAlignment="1">
      <alignment wrapText="1"/>
    </xf>
    <xf numFmtId="179" fontId="160" fillId="0" borderId="0" xfId="21" applyNumberFormat="1" applyFont="1" applyAlignment="1">
      <alignment horizontal="center"/>
    </xf>
    <xf numFmtId="179" fontId="160" fillId="0" borderId="10" xfId="21" applyNumberFormat="1" applyFont="1" applyBorder="1" applyAlignment="1">
      <alignment horizontal="center"/>
    </xf>
    <xf numFmtId="179" fontId="160" fillId="0" borderId="9" xfId="21" applyNumberFormat="1" applyFont="1" applyBorder="1" applyAlignment="1">
      <alignment horizontal="center"/>
    </xf>
    <xf numFmtId="0" fontId="162" fillId="0" borderId="0" xfId="21" applyFont="1"/>
    <xf numFmtId="179" fontId="156" fillId="0" borderId="0" xfId="21" applyNumberFormat="1" applyFont="1" applyAlignment="1">
      <alignment horizontal="center"/>
    </xf>
    <xf numFmtId="0" fontId="160" fillId="0" borderId="0" xfId="21" applyFont="1"/>
    <xf numFmtId="0" fontId="57" fillId="0" borderId="0" xfId="21" applyFont="1" applyAlignment="1">
      <alignment wrapText="1"/>
    </xf>
    <xf numFmtId="0" fontId="57" fillId="0" borderId="0" xfId="21" applyFont="1" applyAlignment="1">
      <alignment horizontal="center" wrapText="1"/>
    </xf>
    <xf numFmtId="0" fontId="57" fillId="0" borderId="0" xfId="21" applyFont="1"/>
    <xf numFmtId="175" fontId="57" fillId="0" borderId="0" xfId="21" applyNumberFormat="1" applyFont="1" applyAlignment="1">
      <alignment horizontal="center"/>
    </xf>
    <xf numFmtId="15" fontId="57" fillId="0" borderId="0" xfId="21" applyNumberFormat="1" applyFont="1"/>
    <xf numFmtId="0" fontId="99" fillId="0" borderId="0" xfId="20" applyFont="1"/>
    <xf numFmtId="0" fontId="94" fillId="0" borderId="0" xfId="21" applyFont="1"/>
    <xf numFmtId="175" fontId="94" fillId="0" borderId="0" xfId="21" applyNumberFormat="1" applyFont="1" applyAlignment="1">
      <alignment horizontal="center"/>
    </xf>
    <xf numFmtId="182" fontId="57" fillId="0" borderId="0" xfId="21" applyNumberFormat="1" applyFont="1" applyAlignment="1">
      <alignment horizontal="right"/>
    </xf>
    <xf numFmtId="17" fontId="57" fillId="0" borderId="0" xfId="21" applyNumberFormat="1" applyFont="1" applyAlignment="1">
      <alignment horizontal="center"/>
    </xf>
    <xf numFmtId="0" fontId="57" fillId="0" borderId="0" xfId="21" applyFont="1" applyAlignment="1">
      <alignment horizontal="right"/>
    </xf>
    <xf numFmtId="0" fontId="163" fillId="0" borderId="0" xfId="21" applyFont="1"/>
    <xf numFmtId="0" fontId="160" fillId="0" borderId="11" xfId="21" applyFont="1" applyBorder="1" applyAlignment="1">
      <alignment horizontal="center"/>
    </xf>
    <xf numFmtId="0" fontId="160" fillId="0" borderId="5" xfId="21" applyFont="1" applyBorder="1"/>
    <xf numFmtId="3" fontId="160" fillId="0" borderId="5" xfId="21" applyNumberFormat="1" applyFont="1" applyBorder="1" applyAlignment="1">
      <alignment horizontal="center"/>
    </xf>
    <xf numFmtId="3" fontId="160" fillId="0" borderId="12" xfId="21" applyNumberFormat="1" applyFont="1" applyBorder="1" applyAlignment="1">
      <alignment horizontal="center"/>
    </xf>
    <xf numFmtId="3" fontId="160" fillId="0" borderId="11" xfId="21" applyNumberFormat="1" applyFont="1" applyBorder="1" applyAlignment="1">
      <alignment horizontal="center"/>
    </xf>
    <xf numFmtId="0" fontId="160" fillId="0" borderId="0" xfId="21" applyFont="1" applyAlignment="1">
      <alignment horizontal="center"/>
    </xf>
    <xf numFmtId="3" fontId="160" fillId="0" borderId="0" xfId="21" applyNumberFormat="1" applyFont="1" applyAlignment="1">
      <alignment horizontal="center"/>
    </xf>
    <xf numFmtId="179" fontId="160" fillId="0" borderId="5" xfId="21" applyNumberFormat="1" applyFont="1" applyBorder="1" applyAlignment="1">
      <alignment horizontal="center"/>
    </xf>
    <xf numFmtId="179" fontId="160" fillId="0" borderId="12" xfId="21" applyNumberFormat="1" applyFont="1" applyBorder="1" applyAlignment="1">
      <alignment horizontal="center"/>
    </xf>
    <xf numFmtId="179" fontId="160" fillId="0" borderId="11" xfId="21" applyNumberFormat="1" applyFont="1" applyBorder="1" applyAlignment="1">
      <alignment horizontal="center"/>
    </xf>
    <xf numFmtId="0" fontId="156" fillId="0" borderId="5" xfId="21" applyFont="1" applyBorder="1"/>
    <xf numFmtId="0" fontId="160" fillId="0" borderId="7" xfId="21" applyFont="1" applyBorder="1"/>
    <xf numFmtId="0" fontId="155" fillId="0" borderId="7" xfId="21" applyFont="1" applyBorder="1" applyAlignment="1">
      <alignment horizontal="left"/>
    </xf>
    <xf numFmtId="0" fontId="156" fillId="0" borderId="7" xfId="21" applyFont="1" applyBorder="1" applyAlignment="1">
      <alignment horizontal="center"/>
    </xf>
    <xf numFmtId="0" fontId="156" fillId="0" borderId="7" xfId="21" applyFont="1" applyBorder="1"/>
    <xf numFmtId="0" fontId="155" fillId="0" borderId="7" xfId="21" applyFont="1" applyBorder="1" applyAlignment="1">
      <alignment horizontal="center"/>
    </xf>
    <xf numFmtId="0" fontId="155" fillId="0" borderId="8" xfId="21" applyFont="1" applyBorder="1" applyAlignment="1">
      <alignment horizontal="center"/>
    </xf>
    <xf numFmtId="0" fontId="164" fillId="16" borderId="0" xfId="21" applyFont="1" applyFill="1" applyAlignment="1">
      <alignment vertical="center"/>
    </xf>
    <xf numFmtId="0" fontId="166" fillId="16" borderId="0" xfId="21" applyFont="1" applyFill="1"/>
    <xf numFmtId="3" fontId="156" fillId="0" borderId="5" xfId="21" applyNumberFormat="1" applyFont="1" applyBorder="1" applyAlignment="1">
      <alignment horizontal="center"/>
    </xf>
    <xf numFmtId="3" fontId="156" fillId="0" borderId="12" xfId="21" applyNumberFormat="1" applyFont="1" applyBorder="1" applyAlignment="1">
      <alignment horizontal="center"/>
    </xf>
    <xf numFmtId="164" fontId="57" fillId="0" borderId="0" xfId="21" applyNumberFormat="1" applyFont="1"/>
    <xf numFmtId="0" fontId="4" fillId="0" borderId="0" xfId="14" applyFont="1" applyAlignment="1">
      <alignment horizontal="right"/>
    </xf>
    <xf numFmtId="0" fontId="90" fillId="2" borderId="0" xfId="3" applyFont="1" applyFill="1" applyAlignment="1">
      <alignment horizontal="left" vertical="center"/>
    </xf>
    <xf numFmtId="0" fontId="13" fillId="2" borderId="0" xfId="0" applyFont="1" applyFill="1" applyAlignment="1">
      <alignment horizontal="left" vertical="center" wrapText="1"/>
    </xf>
    <xf numFmtId="0" fontId="90" fillId="2" borderId="0" xfId="3" applyFont="1" applyFill="1" applyAlignment="1">
      <alignment vertical="center"/>
    </xf>
    <xf numFmtId="0" fontId="13" fillId="2" borderId="0" xfId="0" applyFont="1" applyFill="1" applyAlignment="1">
      <alignment vertical="center"/>
    </xf>
    <xf numFmtId="0" fontId="90" fillId="2" borderId="0" xfId="3" applyFont="1" applyFill="1" applyBorder="1" applyAlignment="1">
      <alignment vertical="center"/>
    </xf>
    <xf numFmtId="0" fontId="13" fillId="2" borderId="0" xfId="0" applyFont="1" applyFill="1" applyAlignment="1">
      <alignment horizontal="left" vertical="center"/>
    </xf>
    <xf numFmtId="0" fontId="90" fillId="0" borderId="0" xfId="3" applyFont="1" applyAlignment="1">
      <alignment vertical="center"/>
    </xf>
    <xf numFmtId="0" fontId="81" fillId="2" borderId="3" xfId="0" applyFont="1" applyFill="1" applyBorder="1" applyAlignment="1">
      <alignment vertical="center"/>
    </xf>
    <xf numFmtId="0" fontId="81" fillId="2" borderId="3" xfId="0" applyFont="1" applyFill="1" applyBorder="1"/>
    <xf numFmtId="0" fontId="13" fillId="2" borderId="3" xfId="0" applyFont="1" applyFill="1" applyBorder="1"/>
    <xf numFmtId="0" fontId="168" fillId="0" borderId="0" xfId="0" applyFont="1"/>
    <xf numFmtId="0" fontId="154" fillId="0" borderId="0" xfId="0" applyFont="1" applyAlignment="1">
      <alignment horizontal="left" vertical="center"/>
    </xf>
    <xf numFmtId="0" fontId="154" fillId="0" borderId="0" xfId="0" applyFont="1" applyAlignment="1">
      <alignment horizontal="center" vertical="center" wrapText="1"/>
    </xf>
    <xf numFmtId="164" fontId="154" fillId="0" borderId="0" xfId="2" applyNumberFormat="1" applyFont="1" applyAlignment="1">
      <alignment horizontal="center" vertical="center" wrapText="1"/>
    </xf>
    <xf numFmtId="164" fontId="154" fillId="0" borderId="0" xfId="2" applyNumberFormat="1" applyFont="1" applyBorder="1" applyAlignment="1">
      <alignment horizontal="center" vertical="center" wrapText="1"/>
    </xf>
    <xf numFmtId="164" fontId="154" fillId="0" borderId="0" xfId="0" applyNumberFormat="1" applyFont="1" applyAlignment="1">
      <alignment horizontal="center" vertical="center" wrapText="1"/>
    </xf>
    <xf numFmtId="49" fontId="170" fillId="0" borderId="0" xfId="0" applyNumberFormat="1" applyFont="1" applyAlignment="1">
      <alignment horizontal="left" vertical="center" wrapText="1" readingOrder="1"/>
    </xf>
    <xf numFmtId="49" fontId="13" fillId="0" borderId="0" xfId="0" applyNumberFormat="1" applyFont="1" applyAlignment="1">
      <alignment vertical="top" wrapText="1"/>
    </xf>
    <xf numFmtId="0" fontId="13" fillId="0" borderId="0" xfId="0" applyFont="1" applyAlignment="1">
      <alignment vertical="top" wrapText="1"/>
    </xf>
    <xf numFmtId="49" fontId="13" fillId="0" borderId="0" xfId="0" applyNumberFormat="1" applyFont="1" applyAlignment="1">
      <alignment vertical="center" wrapText="1"/>
    </xf>
    <xf numFmtId="0" fontId="90" fillId="0" borderId="0" xfId="3" applyFont="1"/>
    <xf numFmtId="9" fontId="13" fillId="0" borderId="0" xfId="1" applyFont="1"/>
    <xf numFmtId="181" fontId="160" fillId="0" borderId="12" xfId="21" applyNumberFormat="1" applyFont="1" applyBorder="1" applyAlignment="1">
      <alignment horizontal="center"/>
    </xf>
    <xf numFmtId="0" fontId="167" fillId="0" borderId="0" xfId="21" applyFont="1"/>
    <xf numFmtId="49" fontId="21" fillId="0" borderId="0" xfId="3" applyNumberFormat="1" applyAlignment="1">
      <alignment vertical="center" wrapText="1"/>
    </xf>
    <xf numFmtId="14" fontId="13" fillId="0" borderId="0" xfId="0" applyNumberFormat="1" applyFont="1" applyAlignment="1">
      <alignment vertical="top" wrapText="1"/>
    </xf>
    <xf numFmtId="49" fontId="21" fillId="0" borderId="0" xfId="3" applyNumberFormat="1" applyAlignment="1">
      <alignment horizontal="left" vertical="center" wrapText="1" readingOrder="1"/>
    </xf>
    <xf numFmtId="0" fontId="156" fillId="0" borderId="0" xfId="21" applyFont="1" applyAlignment="1">
      <alignment wrapText="1"/>
    </xf>
    <xf numFmtId="3" fontId="172" fillId="0" borderId="6" xfId="21" applyNumberFormat="1" applyFont="1" applyBorder="1" applyAlignment="1">
      <alignment horizontal="center"/>
    </xf>
    <xf numFmtId="3" fontId="172" fillId="0" borderId="7" xfId="21" applyNumberFormat="1" applyFont="1" applyBorder="1" applyAlignment="1">
      <alignment horizontal="center"/>
    </xf>
    <xf numFmtId="3" fontId="172" fillId="0" borderId="8" xfId="21" applyNumberFormat="1" applyFont="1" applyBorder="1" applyAlignment="1">
      <alignment horizontal="center"/>
    </xf>
    <xf numFmtId="3" fontId="172" fillId="0" borderId="9" xfId="21" applyNumberFormat="1" applyFont="1" applyBorder="1" applyAlignment="1">
      <alignment horizontal="center"/>
    </xf>
    <xf numFmtId="3" fontId="172" fillId="0" borderId="0" xfId="21" applyNumberFormat="1" applyFont="1" applyAlignment="1">
      <alignment horizontal="center"/>
    </xf>
    <xf numFmtId="3" fontId="172" fillId="0" borderId="10" xfId="21" applyNumberFormat="1" applyFont="1" applyBorder="1" applyAlignment="1">
      <alignment horizontal="center"/>
    </xf>
    <xf numFmtId="3" fontId="172" fillId="0" borderId="11" xfId="21" applyNumberFormat="1" applyFont="1" applyBorder="1" applyAlignment="1">
      <alignment horizontal="center"/>
    </xf>
    <xf numFmtId="3" fontId="172" fillId="0" borderId="5" xfId="21" applyNumberFormat="1" applyFont="1" applyBorder="1" applyAlignment="1">
      <alignment horizontal="center"/>
    </xf>
    <xf numFmtId="3" fontId="172" fillId="0" borderId="12" xfId="21" applyNumberFormat="1" applyFont="1" applyBorder="1" applyAlignment="1">
      <alignment horizontal="center"/>
    </xf>
    <xf numFmtId="179" fontId="172" fillId="0" borderId="9" xfId="21" applyNumberFormat="1" applyFont="1" applyBorder="1" applyAlignment="1">
      <alignment horizontal="center"/>
    </xf>
    <xf numFmtId="179" fontId="172" fillId="0" borderId="0" xfId="21" applyNumberFormat="1" applyFont="1" applyAlignment="1">
      <alignment horizontal="center"/>
    </xf>
    <xf numFmtId="179" fontId="172" fillId="0" borderId="10" xfId="21" applyNumberFormat="1" applyFont="1" applyBorder="1" applyAlignment="1">
      <alignment horizontal="center"/>
    </xf>
    <xf numFmtId="179" fontId="172" fillId="0" borderId="11" xfId="21" applyNumberFormat="1" applyFont="1" applyBorder="1" applyAlignment="1">
      <alignment horizontal="center"/>
    </xf>
    <xf numFmtId="179" fontId="172" fillId="0" borderId="5" xfId="21" applyNumberFormat="1" applyFont="1" applyBorder="1" applyAlignment="1">
      <alignment horizontal="center"/>
    </xf>
    <xf numFmtId="179" fontId="172" fillId="0" borderId="12" xfId="21" applyNumberFormat="1" applyFont="1" applyBorder="1" applyAlignment="1">
      <alignment horizontal="center"/>
    </xf>
    <xf numFmtId="181" fontId="172" fillId="0" borderId="9" xfId="21" applyNumberFormat="1" applyFont="1" applyBorder="1" applyAlignment="1">
      <alignment horizontal="center"/>
    </xf>
    <xf numFmtId="181" fontId="172" fillId="0" borderId="0" xfId="21" applyNumberFormat="1" applyFont="1" applyAlignment="1">
      <alignment horizontal="center"/>
    </xf>
    <xf numFmtId="181" fontId="172" fillId="0" borderId="10" xfId="21" applyNumberFormat="1" applyFont="1" applyBorder="1" applyAlignment="1">
      <alignment horizontal="center"/>
    </xf>
    <xf numFmtId="0" fontId="21" fillId="2" borderId="0" xfId="3" applyFill="1"/>
    <xf numFmtId="181" fontId="160" fillId="0" borderId="5" xfId="21" applyNumberFormat="1" applyFont="1" applyBorder="1" applyAlignment="1">
      <alignment horizontal="center"/>
    </xf>
    <xf numFmtId="14" fontId="110" fillId="0" borderId="0" xfId="23" applyNumberFormat="1" applyFont="1"/>
    <xf numFmtId="14" fontId="89" fillId="0" borderId="0" xfId="23" applyNumberFormat="1" applyFont="1"/>
    <xf numFmtId="0" fontId="89" fillId="0" borderId="0" xfId="23" applyFont="1"/>
    <xf numFmtId="0" fontId="41" fillId="0" borderId="0" xfId="3" applyFont="1" applyAlignment="1">
      <alignment horizontal="left" vertical="center"/>
    </xf>
    <xf numFmtId="0" fontId="0" fillId="0" borderId="0" xfId="0" pivotButton="1"/>
    <xf numFmtId="164" fontId="25" fillId="0" borderId="0" xfId="2" applyNumberFormat="1" applyFont="1" applyBorder="1"/>
    <xf numFmtId="164" fontId="52" fillId="0" borderId="0" xfId="2" applyNumberFormat="1" applyFont="1" applyBorder="1"/>
    <xf numFmtId="9" fontId="141" fillId="4" borderId="13" xfId="15" applyNumberFormat="1" applyAlignment="1">
      <alignment horizontal="center" vertical="center"/>
    </xf>
    <xf numFmtId="0" fontId="96" fillId="0" borderId="0" xfId="0" applyFont="1"/>
    <xf numFmtId="164" fontId="57" fillId="0" borderId="0" xfId="0" applyNumberFormat="1" applyFont="1" applyAlignment="1">
      <alignment horizontal="center"/>
    </xf>
    <xf numFmtId="0" fontId="79" fillId="0" borderId="0" xfId="0" applyFont="1" applyAlignment="1">
      <alignment horizontal="center"/>
    </xf>
    <xf numFmtId="0" fontId="13" fillId="0" borderId="0" xfId="0" applyFont="1" applyAlignment="1">
      <alignment horizontal="center" wrapText="1"/>
    </xf>
    <xf numFmtId="14" fontId="87" fillId="0" borderId="0" xfId="0" applyNumberFormat="1" applyFont="1" applyAlignment="1">
      <alignment horizontal="center"/>
    </xf>
    <xf numFmtId="3" fontId="87" fillId="0" borderId="0" xfId="0" applyNumberFormat="1" applyFont="1" applyAlignment="1">
      <alignment horizontal="center"/>
    </xf>
    <xf numFmtId="164" fontId="13" fillId="0" borderId="0" xfId="0" applyNumberFormat="1" applyFont="1" applyAlignment="1">
      <alignment horizontal="center"/>
    </xf>
    <xf numFmtId="0" fontId="87" fillId="0" borderId="0" xfId="0" applyFont="1" applyAlignment="1">
      <alignment horizontal="center"/>
    </xf>
    <xf numFmtId="14" fontId="13" fillId="0" borderId="0" xfId="0" applyNumberFormat="1" applyFont="1" applyAlignment="1">
      <alignment horizontal="center"/>
    </xf>
    <xf numFmtId="164" fontId="13" fillId="0" borderId="0" xfId="2" applyNumberFormat="1" applyFont="1" applyBorder="1"/>
    <xf numFmtId="0" fontId="173" fillId="0" borderId="0" xfId="0" applyFont="1"/>
    <xf numFmtId="1" fontId="22" fillId="0" borderId="0" xfId="0" applyNumberFormat="1" applyFont="1" applyAlignment="1">
      <alignment horizontal="left"/>
    </xf>
    <xf numFmtId="0" fontId="174" fillId="0" borderId="0" xfId="14" applyFont="1" applyAlignment="1">
      <alignment wrapText="1"/>
    </xf>
    <xf numFmtId="0" fontId="175" fillId="0" borderId="0" xfId="14" applyFont="1"/>
    <xf numFmtId="164" fontId="0" fillId="9" borderId="21" xfId="2" applyNumberFormat="1" applyFont="1" applyFill="1" applyBorder="1" applyAlignment="1">
      <alignment horizontal="right"/>
    </xf>
    <xf numFmtId="164" fontId="64" fillId="9" borderId="21" xfId="2" applyNumberFormat="1" applyFont="1" applyFill="1" applyBorder="1" applyAlignment="1">
      <alignment horizontal="right"/>
    </xf>
    <xf numFmtId="164" fontId="0" fillId="0" borderId="0" xfId="2" applyNumberFormat="1" applyFont="1" applyFill="1" applyBorder="1" applyAlignment="1">
      <alignment horizontal="right"/>
    </xf>
    <xf numFmtId="164" fontId="64" fillId="0" borderId="0" xfId="2" applyNumberFormat="1" applyFont="1" applyFill="1" applyBorder="1" applyAlignment="1">
      <alignment horizontal="right"/>
    </xf>
    <xf numFmtId="164" fontId="85" fillId="0" borderId="0" xfId="2" applyNumberFormat="1" applyFont="1"/>
    <xf numFmtId="164" fontId="85" fillId="0" borderId="0" xfId="2" applyNumberFormat="1" applyFont="1" applyBorder="1"/>
    <xf numFmtId="177" fontId="22" fillId="0" borderId="0" xfId="2" applyNumberFormat="1" applyFont="1"/>
    <xf numFmtId="0" fontId="177" fillId="0" borderId="0" xfId="0" applyFont="1"/>
    <xf numFmtId="0" fontId="178" fillId="0" borderId="0" xfId="0" applyFont="1"/>
    <xf numFmtId="0" fontId="2" fillId="2" borderId="0" xfId="0" applyFont="1" applyFill="1"/>
    <xf numFmtId="14" fontId="87" fillId="0" borderId="0" xfId="0" applyNumberFormat="1" applyFont="1" applyAlignment="1">
      <alignment horizontal="center" vertical="center" wrapText="1"/>
    </xf>
    <xf numFmtId="0" fontId="153" fillId="0" borderId="0" xfId="0" applyFont="1" applyAlignment="1">
      <alignment horizontal="left" vertical="center"/>
    </xf>
    <xf numFmtId="0" fontId="87" fillId="0" borderId="0" xfId="0" applyFont="1" applyAlignment="1">
      <alignment horizontal="center" vertical="center" wrapText="1"/>
    </xf>
    <xf numFmtId="0" fontId="13" fillId="2" borderId="0" xfId="0" applyFont="1" applyFill="1" applyAlignment="1">
      <alignment horizontal="centerContinuous" vertical="top" wrapText="1"/>
    </xf>
    <xf numFmtId="0" fontId="136" fillId="2" borderId="0" xfId="0" applyFont="1" applyFill="1" applyAlignment="1">
      <alignment horizontal="centerContinuous" vertical="top" wrapText="1"/>
    </xf>
    <xf numFmtId="43" fontId="87" fillId="0" borderId="0" xfId="0" applyNumberFormat="1" applyFont="1" applyAlignment="1">
      <alignment horizontal="center" vertical="center" wrapText="1"/>
    </xf>
    <xf numFmtId="164" fontId="82" fillId="0" borderId="0" xfId="0" applyNumberFormat="1" applyFont="1" applyAlignment="1">
      <alignment horizontal="center" vertical="center" wrapText="1"/>
    </xf>
    <xf numFmtId="43" fontId="82" fillId="0" borderId="0" xfId="0" applyNumberFormat="1" applyFont="1" applyAlignment="1">
      <alignment horizontal="center" vertical="center" wrapText="1"/>
    </xf>
    <xf numFmtId="0" fontId="179" fillId="0" borderId="0" xfId="0" applyFont="1" applyAlignment="1">
      <alignment horizontal="center" vertical="center" wrapText="1"/>
    </xf>
    <xf numFmtId="180" fontId="180" fillId="0" borderId="0" xfId="0" applyNumberFormat="1" applyFont="1" applyAlignment="1">
      <alignment horizontal="center" vertical="center" wrapText="1"/>
    </xf>
    <xf numFmtId="164" fontId="180" fillId="0" borderId="0" xfId="0" applyNumberFormat="1" applyFont="1" applyAlignment="1">
      <alignment horizontal="center" vertical="center" wrapText="1"/>
    </xf>
    <xf numFmtId="37" fontId="180" fillId="0" borderId="0" xfId="2" applyNumberFormat="1" applyFont="1" applyAlignment="1">
      <alignment horizontal="center" vertical="center" wrapText="1"/>
    </xf>
    <xf numFmtId="164" fontId="180" fillId="0" borderId="0" xfId="2" applyNumberFormat="1" applyFont="1" applyFill="1" applyBorder="1" applyAlignment="1">
      <alignment horizontal="center" vertical="center" wrapText="1"/>
    </xf>
    <xf numFmtId="164" fontId="77" fillId="0" borderId="0" xfId="0" applyNumberFormat="1" applyFont="1" applyAlignment="1">
      <alignment horizontal="center" vertical="center" wrapText="1"/>
    </xf>
    <xf numFmtId="37" fontId="77" fillId="0" borderId="0" xfId="2" applyNumberFormat="1" applyFont="1" applyAlignment="1">
      <alignment horizontal="center" vertical="center" wrapText="1"/>
    </xf>
    <xf numFmtId="164" fontId="77" fillId="0" borderId="0" xfId="2" applyNumberFormat="1" applyFont="1" applyFill="1" applyBorder="1" applyAlignment="1">
      <alignment horizontal="center" vertical="center" wrapText="1"/>
    </xf>
    <xf numFmtId="180" fontId="77" fillId="0" borderId="0" xfId="0" applyNumberFormat="1" applyFont="1" applyAlignment="1">
      <alignment horizontal="center" vertical="center" wrapText="1"/>
    </xf>
    <xf numFmtId="0" fontId="92" fillId="0" borderId="0" xfId="0" applyFont="1" applyAlignment="1">
      <alignment horizontal="center" vertical="center" wrapText="1"/>
    </xf>
    <xf numFmtId="0" fontId="92" fillId="0" borderId="0" xfId="0" applyFont="1" applyAlignment="1">
      <alignment horizontal="right" vertical="center"/>
    </xf>
    <xf numFmtId="164" fontId="92" fillId="0" borderId="0" xfId="2" applyNumberFormat="1" applyFont="1" applyAlignment="1">
      <alignment horizontal="center" vertical="center" wrapText="1"/>
    </xf>
    <xf numFmtId="0" fontId="181" fillId="0" borderId="0" xfId="0" applyFont="1" applyAlignment="1">
      <alignment horizontal="center" vertical="center" wrapText="1"/>
    </xf>
    <xf numFmtId="9" fontId="87" fillId="0" borderId="0" xfId="1" applyFont="1" applyAlignment="1">
      <alignment horizontal="center" vertical="center" wrapText="1"/>
    </xf>
    <xf numFmtId="164" fontId="109" fillId="0" borderId="0" xfId="0" applyNumberFormat="1" applyFont="1" applyAlignment="1">
      <alignment horizontal="center" vertical="center" wrapText="1"/>
    </xf>
    <xf numFmtId="164" fontId="109" fillId="0" borderId="0" xfId="2" applyNumberFormat="1" applyFont="1" applyFill="1" applyAlignment="1">
      <alignment horizontal="center" vertical="center" wrapText="1"/>
    </xf>
    <xf numFmtId="164" fontId="109" fillId="0" borderId="0" xfId="2" applyNumberFormat="1" applyFont="1" applyFill="1" applyBorder="1" applyAlignment="1">
      <alignment horizontal="center" vertical="center" wrapText="1"/>
    </xf>
    <xf numFmtId="164" fontId="160" fillId="0" borderId="0" xfId="21" applyNumberFormat="1" applyFont="1"/>
    <xf numFmtId="164" fontId="160" fillId="0" borderId="0" xfId="22" applyNumberFormat="1" applyFont="1" applyFill="1" applyBorder="1" applyAlignment="1">
      <alignment horizontal="center"/>
    </xf>
    <xf numFmtId="0" fontId="21" fillId="2" borderId="0" xfId="3" applyFill="1" applyAlignment="1">
      <alignment horizontal="left" vertical="top"/>
    </xf>
    <xf numFmtId="166" fontId="0" fillId="0" borderId="0" xfId="0" applyNumberFormat="1"/>
    <xf numFmtId="9" fontId="182" fillId="0" borderId="0" xfId="1" applyFont="1" applyAlignment="1">
      <alignment horizontal="center" vertical="center" wrapText="1"/>
    </xf>
    <xf numFmtId="43" fontId="13" fillId="0" borderId="0" xfId="0" applyNumberFormat="1" applyFont="1" applyAlignment="1">
      <alignment horizontal="left" vertical="center"/>
    </xf>
    <xf numFmtId="164" fontId="87" fillId="0" borderId="4" xfId="2" applyNumberFormat="1" applyFont="1" applyFill="1" applyBorder="1" applyAlignment="1">
      <alignment horizontal="center" vertical="center" wrapText="1"/>
    </xf>
    <xf numFmtId="164" fontId="87" fillId="0" borderId="22" xfId="2" applyNumberFormat="1" applyFont="1" applyFill="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vertical="center" wrapText="1"/>
    </xf>
    <xf numFmtId="9" fontId="13" fillId="0" borderId="0" xfId="1" applyFont="1" applyAlignment="1">
      <alignment vertical="center" wrapText="1"/>
    </xf>
    <xf numFmtId="0" fontId="13" fillId="3" borderId="0" xfId="0" applyFont="1" applyFill="1" applyAlignment="1">
      <alignment vertical="center" wrapText="1"/>
    </xf>
    <xf numFmtId="0" fontId="13" fillId="5" borderId="0" xfId="0" applyFont="1" applyFill="1" applyAlignment="1">
      <alignment vertical="center" wrapText="1"/>
    </xf>
    <xf numFmtId="9" fontId="182" fillId="0" borderId="0" xfId="1" applyFont="1" applyAlignment="1">
      <alignment vertical="center" wrapText="1"/>
    </xf>
    <xf numFmtId="178" fontId="13" fillId="0" borderId="0" xfId="0" applyNumberFormat="1" applyFont="1" applyAlignment="1">
      <alignment vertical="center" wrapText="1"/>
    </xf>
    <xf numFmtId="164" fontId="13" fillId="0" borderId="0" xfId="2" applyNumberFormat="1" applyFont="1" applyAlignment="1">
      <alignment vertical="center" wrapText="1"/>
    </xf>
    <xf numFmtId="164" fontId="13" fillId="5" borderId="0" xfId="2" applyNumberFormat="1" applyFont="1" applyFill="1" applyAlignment="1">
      <alignment vertical="center" wrapText="1"/>
    </xf>
    <xf numFmtId="164" fontId="13" fillId="0" borderId="0" xfId="2" applyNumberFormat="1" applyFont="1" applyFill="1" applyAlignment="1">
      <alignment vertical="center" wrapText="1"/>
    </xf>
    <xf numFmtId="171" fontId="13" fillId="0" borderId="0" xfId="0" applyNumberFormat="1" applyFont="1" applyAlignment="1">
      <alignment vertical="center" wrapText="1"/>
    </xf>
    <xf numFmtId="9" fontId="13" fillId="0" borderId="0" xfId="1" applyFont="1" applyFill="1" applyBorder="1" applyAlignment="1">
      <alignment vertical="center" wrapText="1"/>
    </xf>
    <xf numFmtId="168" fontId="13" fillId="0" borderId="0" xfId="0" applyNumberFormat="1" applyFont="1" applyAlignment="1">
      <alignment vertical="center" wrapText="1"/>
    </xf>
    <xf numFmtId="9" fontId="13" fillId="0" borderId="0" xfId="0" applyNumberFormat="1" applyFont="1" applyAlignment="1">
      <alignment vertical="center" wrapText="1"/>
    </xf>
    <xf numFmtId="9" fontId="109" fillId="0" borderId="0" xfId="1" applyFont="1" applyFill="1" applyAlignment="1">
      <alignment horizontal="center" vertical="center" wrapText="1"/>
    </xf>
    <xf numFmtId="0" fontId="1" fillId="0" borderId="0" xfId="0" applyFont="1"/>
    <xf numFmtId="172" fontId="1" fillId="0" borderId="0" xfId="0" applyNumberFormat="1" applyFont="1" applyAlignment="1">
      <alignment horizontal="center"/>
    </xf>
    <xf numFmtId="0" fontId="105" fillId="0" borderId="0" xfId="0" applyFont="1"/>
    <xf numFmtId="0" fontId="95" fillId="5" borderId="15" xfId="0" applyFont="1" applyFill="1" applyBorder="1" applyAlignment="1">
      <alignment horizontal="left" wrapText="1"/>
    </xf>
    <xf numFmtId="0" fontId="95" fillId="5" borderId="15" xfId="0" applyFont="1" applyFill="1" applyBorder="1" applyAlignment="1">
      <alignment horizontal="right" wrapText="1"/>
    </xf>
    <xf numFmtId="0" fontId="94" fillId="0" borderId="15" xfId="0" applyFont="1" applyBorder="1"/>
    <xf numFmtId="41" fontId="94" fillId="0" borderId="15" xfId="0" applyNumberFormat="1" applyFont="1" applyBorder="1" applyAlignment="1">
      <alignment horizontal="right"/>
    </xf>
    <xf numFmtId="0" fontId="183" fillId="0" borderId="0" xfId="0" applyFont="1"/>
    <xf numFmtId="0" fontId="92" fillId="0" borderId="0" xfId="0" applyFont="1" applyAlignment="1">
      <alignment horizontal="left" vertical="center"/>
    </xf>
    <xf numFmtId="0" fontId="87" fillId="0" borderId="0" xfId="0" applyFont="1" applyAlignment="1">
      <alignment horizontal="right" vertical="center" wrapText="1"/>
    </xf>
    <xf numFmtId="164" fontId="87" fillId="0" borderId="0" xfId="0" applyNumberFormat="1" applyFont="1" applyAlignment="1">
      <alignment horizontal="center" vertical="center" wrapText="1"/>
    </xf>
    <xf numFmtId="9" fontId="87" fillId="0" borderId="0" xfId="1" applyFont="1" applyFill="1" applyAlignment="1">
      <alignment horizontal="center" vertical="center" wrapText="1"/>
    </xf>
    <xf numFmtId="0" fontId="87" fillId="0" borderId="0" xfId="0" applyFont="1" applyAlignment="1">
      <alignment horizontal="center" vertical="center"/>
    </xf>
    <xf numFmtId="173" fontId="13" fillId="0" borderId="0" xfId="1" applyNumberFormat="1" applyFont="1" applyAlignment="1">
      <alignment horizontal="center" vertical="center" wrapText="1"/>
    </xf>
    <xf numFmtId="0" fontId="16" fillId="0" borderId="0" xfId="0" applyFont="1" applyAlignment="1">
      <alignment wrapText="1"/>
    </xf>
    <xf numFmtId="164" fontId="179" fillId="0" borderId="0" xfId="0" applyNumberFormat="1" applyFont="1" applyAlignment="1">
      <alignment horizontal="center" vertical="center" wrapText="1"/>
    </xf>
    <xf numFmtId="164" fontId="181" fillId="0" borderId="0" xfId="2" applyNumberFormat="1" applyFont="1" applyAlignment="1">
      <alignment horizontal="center" vertical="center" wrapText="1"/>
    </xf>
    <xf numFmtId="9" fontId="13" fillId="0" borderId="0" xfId="1" applyFont="1" applyFill="1" applyAlignment="1">
      <alignment vertical="center" wrapText="1"/>
    </xf>
    <xf numFmtId="164" fontId="179" fillId="0" borderId="0" xfId="2" applyNumberFormat="1" applyFont="1" applyAlignment="1">
      <alignment horizontal="center" vertical="center" wrapText="1"/>
    </xf>
    <xf numFmtId="0" fontId="179" fillId="0" borderId="0" xfId="0" applyFont="1" applyAlignment="1">
      <alignment horizontal="left" vertical="center"/>
    </xf>
    <xf numFmtId="37" fontId="179" fillId="0" borderId="0" xfId="2" applyNumberFormat="1" applyFont="1" applyAlignment="1">
      <alignment horizontal="center" vertical="center" wrapText="1"/>
    </xf>
    <xf numFmtId="0" fontId="179" fillId="0" borderId="0" xfId="0" applyFont="1" applyAlignment="1">
      <alignment horizontal="right" vertical="center"/>
    </xf>
    <xf numFmtId="0" fontId="179" fillId="0" borderId="0" xfId="0" applyFont="1" applyAlignment="1">
      <alignment horizontal="right" vertical="center" wrapText="1"/>
    </xf>
    <xf numFmtId="9" fontId="179" fillId="0" borderId="0" xfId="1" applyFont="1" applyAlignment="1">
      <alignment horizontal="center" vertical="center" wrapText="1"/>
    </xf>
    <xf numFmtId="164" fontId="87" fillId="0" borderId="0" xfId="2" applyNumberFormat="1" applyFont="1" applyFill="1" applyAlignment="1">
      <alignment horizontal="center" vertical="center" wrapText="1"/>
    </xf>
    <xf numFmtId="0" fontId="109" fillId="0" borderId="0" xfId="0" applyFont="1" applyAlignment="1">
      <alignment horizontal="left" vertical="center"/>
    </xf>
    <xf numFmtId="0" fontId="184" fillId="0" borderId="0" xfId="0" applyFont="1"/>
    <xf numFmtId="178" fontId="184" fillId="0" borderId="0" xfId="0" applyNumberFormat="1" applyFont="1"/>
    <xf numFmtId="0" fontId="16" fillId="0" borderId="0" xfId="0" applyFont="1" applyAlignment="1">
      <alignment horizontal="center"/>
    </xf>
    <xf numFmtId="164" fontId="18" fillId="0" borderId="0" xfId="2" applyNumberFormat="1" applyFont="1" applyFill="1"/>
    <xf numFmtId="9" fontId="18" fillId="0" borderId="0" xfId="1" applyFont="1" applyFill="1"/>
    <xf numFmtId="0" fontId="185" fillId="0" borderId="0" xfId="0" applyFont="1"/>
    <xf numFmtId="165" fontId="13" fillId="0" borderId="0" xfId="0" applyNumberFormat="1" applyFont="1" applyAlignment="1">
      <alignment horizontal="center" vertical="center" wrapText="1"/>
    </xf>
    <xf numFmtId="1" fontId="87" fillId="0" borderId="0" xfId="0" applyNumberFormat="1" applyFont="1" applyAlignment="1">
      <alignment horizontal="center" vertical="center" wrapText="1"/>
    </xf>
    <xf numFmtId="1" fontId="87" fillId="0" borderId="0" xfId="0" applyNumberFormat="1" applyFont="1" applyAlignment="1">
      <alignment horizontal="right" vertical="center" wrapText="1"/>
    </xf>
    <xf numFmtId="164" fontId="87" fillId="0" borderId="0" xfId="2" applyNumberFormat="1" applyFont="1" applyAlignment="1">
      <alignment horizontal="left" vertical="center"/>
    </xf>
    <xf numFmtId="177" fontId="87" fillId="0" borderId="0" xfId="2" applyNumberFormat="1" applyFont="1" applyAlignment="1">
      <alignment horizontal="center" vertical="center" wrapText="1"/>
    </xf>
    <xf numFmtId="0" fontId="13" fillId="2" borderId="0" xfId="0" applyFont="1" applyFill="1" applyAlignment="1">
      <alignment horizontal="left" vertical="top" wrapText="1"/>
    </xf>
    <xf numFmtId="0" fontId="13" fillId="2" borderId="0" xfId="0" applyFont="1" applyFill="1" applyAlignment="1">
      <alignment horizontal="left" vertical="center" wrapText="1"/>
    </xf>
    <xf numFmtId="0" fontId="13" fillId="2" borderId="0" xfId="0" applyFont="1" applyFill="1" applyAlignment="1">
      <alignment horizontal="left" vertical="center"/>
    </xf>
    <xf numFmtId="0" fontId="22" fillId="0" borderId="0" xfId="0" applyFont="1" applyAlignment="1">
      <alignment horizontal="left" vertical="top" wrapText="1"/>
    </xf>
    <xf numFmtId="0" fontId="0" fillId="0" borderId="0" xfId="0" applyAlignment="1">
      <alignment horizontal="center" wrapText="1"/>
    </xf>
    <xf numFmtId="0" fontId="16" fillId="0" borderId="0" xfId="0" applyFont="1" applyAlignment="1">
      <alignment horizontal="center" wrapText="1"/>
    </xf>
    <xf numFmtId="0" fontId="0" fillId="0" borderId="7" xfId="0" applyBorder="1" applyAlignment="1">
      <alignment horizontal="center" wrapText="1"/>
    </xf>
  </cellXfs>
  <cellStyles count="24">
    <cellStyle name="Calculation 2" xfId="8" xr:uid="{346C7863-1846-4BA8-A17E-BA250157050A}"/>
    <cellStyle name="Comma" xfId="2" builtinId="3"/>
    <cellStyle name="Comma 2" xfId="5" xr:uid="{DB911553-753F-4BE5-A5A9-A7FE414F4378}"/>
    <cellStyle name="Comma 3" xfId="10" xr:uid="{A059A53A-7913-4A2D-AE10-1E6FDD9DB4A4}"/>
    <cellStyle name="Comma 4" xfId="17" xr:uid="{E0ECA681-F5E8-4600-A170-12C8AEF3D7A3}"/>
    <cellStyle name="Comma 5" xfId="22" xr:uid="{F63EE906-E61B-4E51-B139-3B8B5BABB13C}"/>
    <cellStyle name="Hyperlink" xfId="3" builtinId="8"/>
    <cellStyle name="Hyperlink 2" xfId="11" xr:uid="{96C03C11-9AED-442F-B601-4FD75F764090}"/>
    <cellStyle name="Hyperlink 3" xfId="20" xr:uid="{1F42447A-7E0F-46BC-8635-40507D59696E}"/>
    <cellStyle name="Input" xfId="4" builtinId="20"/>
    <cellStyle name="Input 2" xfId="15" xr:uid="{979A35DB-D20C-471F-AF0B-1353881E8CB7}"/>
    <cellStyle name="Normal" xfId="0" builtinId="0"/>
    <cellStyle name="Normal 2" xfId="6" xr:uid="{BD31B004-2BB9-497F-A49C-3EC7302B840D}"/>
    <cellStyle name="Normal 2 2" xfId="9" xr:uid="{DFA73E72-41D6-43BC-9EFC-A0A6C6D518BE}"/>
    <cellStyle name="Normal 3" xfId="13" xr:uid="{389252E8-25CE-4FEC-A594-2B6E004F18BB}"/>
    <cellStyle name="Normal 3 2" xfId="23" xr:uid="{0C1C0961-74FB-46FA-9424-133809B48921}"/>
    <cellStyle name="Normal 4" xfId="14" xr:uid="{992B751D-FADE-4C21-9EF4-03655B2EF08C}"/>
    <cellStyle name="Normal 5" xfId="18" xr:uid="{43956461-9DE2-4B0E-AC1F-B9D6DDDDC47B}"/>
    <cellStyle name="Normal 6" xfId="19" xr:uid="{72ADC821-6FF3-4E79-8570-102A4A0EBACA}"/>
    <cellStyle name="Normal 7" xfId="21" xr:uid="{F366EDF0-A2E6-4D25-A294-766942230FF8}"/>
    <cellStyle name="Note" xfId="7" builtinId="10"/>
    <cellStyle name="Percent" xfId="1" builtinId="5"/>
    <cellStyle name="Percent 2" xfId="12" xr:uid="{0D3AF200-3A50-4BEE-8E96-2F131F6DB756}"/>
    <cellStyle name="Percent 3" xfId="16" xr:uid="{3B1201F9-9CEF-4731-8638-3533822423B0}"/>
  </cellStyles>
  <dxfs count="6">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EB-5 Inventory  Estimate as of March 2026 compared with typical</a:t>
            </a:r>
            <a:r>
              <a:rPr lang="en-US" baseline="0"/>
              <a:t> annual visas</a:t>
            </a:r>
            <a:endParaRPr lang="en-US"/>
          </a:p>
        </c:rich>
      </c:tx>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163670166229222"/>
          <c:y val="0.20231005163455909"/>
          <c:w val="0.8378077427821522"/>
          <c:h val="0.78071808581818469"/>
        </c:manualLayout>
      </c:layout>
      <c:barChart>
        <c:barDir val="col"/>
        <c:grouping val="clustered"/>
        <c:varyColors val="0"/>
        <c:ser>
          <c:idx val="0"/>
          <c:order val="0"/>
          <c:tx>
            <c:strRef>
              <c:f>Summary2!$D$60</c:f>
              <c:strCache>
                <c:ptCount val="1"/>
                <c:pt idx="0">
                  <c:v>Applicants</c:v>
                </c:pt>
              </c:strCache>
            </c:strRef>
          </c:tx>
          <c:spPr>
            <a:solidFill>
              <a:schemeClr val="accent4">
                <a:lumMod val="20000"/>
                <a:lumOff val="80000"/>
              </a:schemeClr>
            </a:solidFill>
            <a:ln>
              <a:solidFill>
                <a:schemeClr val="accent1">
                  <a:lumMod val="20000"/>
                  <a:lumOff val="80000"/>
                </a:schemeClr>
              </a:solidFill>
            </a:ln>
            <a:effectLst/>
          </c:spPr>
          <c:invertIfNegative val="0"/>
          <c:cat>
            <c:strRef>
              <c:f>Summary2!$C$61:$C$64</c:f>
              <c:strCache>
                <c:ptCount val="4"/>
                <c:pt idx="0">
                  <c:v>Pre-RIA applicant pipeline estimate (Unreserved only) as of March 2026</c:v>
                </c:pt>
                <c:pt idx="1">
                  <c:v>Unreserved visa supply  (typical annual)</c:v>
                </c:pt>
                <c:pt idx="2">
                  <c:v>Post-RIA pipeline applicant estimate (mostly set-aside investors) as of March 2026</c:v>
                </c:pt>
                <c:pt idx="3">
                  <c:v>Set-Aside visa supply (typical annual)</c:v>
                </c:pt>
              </c:strCache>
            </c:strRef>
          </c:cat>
          <c:val>
            <c:numRef>
              <c:f>Summary2!$D$61:$D$64</c:f>
              <c:numCache>
                <c:formatCode>_(* #,##0_);_(* \(#,##0\);_(* "-"??_);_(@_)</c:formatCode>
                <c:ptCount val="4"/>
                <c:pt idx="0">
                  <c:v>21800</c:v>
                </c:pt>
                <c:pt idx="2">
                  <c:v>31818</c:v>
                </c:pt>
              </c:numCache>
            </c:numRef>
          </c:val>
          <c:extLst>
            <c:ext xmlns:c16="http://schemas.microsoft.com/office/drawing/2014/chart" uri="{C3380CC4-5D6E-409C-BE32-E72D297353CC}">
              <c16:uniqueId val="{00000000-06AD-4BDE-BEE6-C1A35DB4B853}"/>
            </c:ext>
          </c:extLst>
        </c:ser>
        <c:ser>
          <c:idx val="1"/>
          <c:order val="1"/>
          <c:tx>
            <c:strRef>
              <c:f>Summary2!$E$60</c:f>
              <c:strCache>
                <c:ptCount val="1"/>
                <c:pt idx="0">
                  <c:v>Annual Visas</c:v>
                </c:pt>
              </c:strCache>
            </c:strRef>
          </c:tx>
          <c:spPr>
            <a:solidFill>
              <a:schemeClr val="accent3">
                <a:lumMod val="20000"/>
                <a:lumOff val="80000"/>
              </a:schemeClr>
            </a:solidFill>
            <a:ln>
              <a:noFill/>
            </a:ln>
            <a:effectLst/>
          </c:spPr>
          <c:invertIfNegative val="0"/>
          <c:cat>
            <c:strRef>
              <c:f>Summary2!$C$61:$C$64</c:f>
              <c:strCache>
                <c:ptCount val="4"/>
                <c:pt idx="0">
                  <c:v>Pre-RIA applicant pipeline estimate (Unreserved only) as of March 2026</c:v>
                </c:pt>
                <c:pt idx="1">
                  <c:v>Unreserved visa supply  (typical annual)</c:v>
                </c:pt>
                <c:pt idx="2">
                  <c:v>Post-RIA pipeline applicant estimate (mostly set-aside investors) as of March 2026</c:v>
                </c:pt>
                <c:pt idx="3">
                  <c:v>Set-Aside visa supply (typical annual)</c:v>
                </c:pt>
              </c:strCache>
            </c:strRef>
          </c:cat>
          <c:val>
            <c:numRef>
              <c:f>Summary2!$E$61:$E$64</c:f>
              <c:numCache>
                <c:formatCode>_(* #,##0_);_(* \(#,##0\);_(* "-"??_);_(@_)</c:formatCode>
                <c:ptCount val="4"/>
                <c:pt idx="1">
                  <c:v>6800</c:v>
                </c:pt>
                <c:pt idx="3">
                  <c:v>3200</c:v>
                </c:pt>
              </c:numCache>
            </c:numRef>
          </c:val>
          <c:extLst>
            <c:ext xmlns:c16="http://schemas.microsoft.com/office/drawing/2014/chart" uri="{C3380CC4-5D6E-409C-BE32-E72D297353CC}">
              <c16:uniqueId val="{00000001-06AD-4BDE-BEE6-C1A35DB4B853}"/>
            </c:ext>
          </c:extLst>
        </c:ser>
        <c:dLbls>
          <c:showLegendKey val="0"/>
          <c:showVal val="0"/>
          <c:showCatName val="0"/>
          <c:showSerName val="0"/>
          <c:showPercent val="0"/>
          <c:showBubbleSize val="0"/>
        </c:dLbls>
        <c:gapWidth val="40"/>
        <c:overlap val="80"/>
        <c:axId val="1851788880"/>
        <c:axId val="1851803760"/>
      </c:barChart>
      <c:catAx>
        <c:axId val="185178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803760"/>
        <c:crosses val="autoZero"/>
        <c:auto val="1"/>
        <c:lblAlgn val="ctr"/>
        <c:lblOffset val="100"/>
        <c:noMultiLvlLbl val="0"/>
      </c:catAx>
      <c:valAx>
        <c:axId val="1851803760"/>
        <c:scaling>
          <c:orientation val="minMax"/>
          <c:max val="35000"/>
          <c:min val="0"/>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788880"/>
        <c:crosses val="autoZero"/>
        <c:crossBetween val="between"/>
        <c:maj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Unreserved!$Q$53</c:f>
              <c:strCache>
                <c:ptCount val="1"/>
                <c:pt idx="0">
                  <c:v>China Visas Issued</c:v>
                </c:pt>
              </c:strCache>
            </c:strRef>
          </c:tx>
          <c:spPr>
            <a:solidFill>
              <a:srgbClr val="FFC000"/>
            </a:solidFill>
            <a:ln>
              <a:noFill/>
            </a:ln>
            <a:effectLst/>
          </c:spPr>
          <c:invertIfNegative val="0"/>
          <c:cat>
            <c:strRef>
              <c:f>Unreserved!$P$54:$P$64</c:f>
              <c:strCache>
                <c:ptCount val="11"/>
                <c:pt idx="0">
                  <c:v>FY2015</c:v>
                </c:pt>
                <c:pt idx="1">
                  <c:v>FY2016</c:v>
                </c:pt>
                <c:pt idx="2">
                  <c:v>FY2017</c:v>
                </c:pt>
                <c:pt idx="3">
                  <c:v>FY2018</c:v>
                </c:pt>
                <c:pt idx="4">
                  <c:v>FY2019</c:v>
                </c:pt>
                <c:pt idx="5">
                  <c:v>FY2020</c:v>
                </c:pt>
                <c:pt idx="6">
                  <c:v>FY2021</c:v>
                </c:pt>
                <c:pt idx="7">
                  <c:v>FY2022</c:v>
                </c:pt>
                <c:pt idx="8">
                  <c:v> FY2023 </c:v>
                </c:pt>
                <c:pt idx="9">
                  <c:v>FY2024</c:v>
                </c:pt>
                <c:pt idx="10">
                  <c:v>FY2025 est</c:v>
                </c:pt>
              </c:strCache>
            </c:strRef>
          </c:cat>
          <c:val>
            <c:numRef>
              <c:f>Unreserved!$Q$54:$Q$64</c:f>
              <c:numCache>
                <c:formatCode>_(* #,##0_);_(* \(#,##0\);_(* "-"??_);_(@_)</c:formatCode>
                <c:ptCount val="11"/>
                <c:pt idx="0">
                  <c:v>8156</c:v>
                </c:pt>
                <c:pt idx="1">
                  <c:v>7516</c:v>
                </c:pt>
                <c:pt idx="2">
                  <c:v>7567</c:v>
                </c:pt>
                <c:pt idx="3">
                  <c:v>4642</c:v>
                </c:pt>
                <c:pt idx="4">
                  <c:v>4327</c:v>
                </c:pt>
                <c:pt idx="5">
                  <c:v>1686</c:v>
                </c:pt>
                <c:pt idx="6">
                  <c:v>1567</c:v>
                </c:pt>
                <c:pt idx="7">
                  <c:v>6125</c:v>
                </c:pt>
                <c:pt idx="8">
                  <c:v>6262</c:v>
                </c:pt>
                <c:pt idx="9">
                  <c:v>9312</c:v>
                </c:pt>
                <c:pt idx="10" formatCode="General">
                  <c:v>6000</c:v>
                </c:pt>
              </c:numCache>
            </c:numRef>
          </c:val>
          <c:extLst>
            <c:ext xmlns:c16="http://schemas.microsoft.com/office/drawing/2014/chart" uri="{C3380CC4-5D6E-409C-BE32-E72D297353CC}">
              <c16:uniqueId val="{00000000-FAC1-428A-9DC4-491D91377839}"/>
            </c:ext>
          </c:extLst>
        </c:ser>
        <c:ser>
          <c:idx val="2"/>
          <c:order val="2"/>
          <c:tx>
            <c:strRef>
              <c:f>Unreserved!$S$53</c:f>
              <c:strCache>
                <c:ptCount val="1"/>
                <c:pt idx="0">
                  <c:v>ROW Visas Issued</c:v>
                </c:pt>
              </c:strCache>
            </c:strRef>
          </c:tx>
          <c:spPr>
            <a:solidFill>
              <a:schemeClr val="accent4"/>
            </a:solidFill>
            <a:ln>
              <a:noFill/>
            </a:ln>
            <a:effectLst/>
          </c:spPr>
          <c:invertIfNegative val="0"/>
          <c:cat>
            <c:strRef>
              <c:f>Unreserved!$P$54:$P$64</c:f>
              <c:strCache>
                <c:ptCount val="11"/>
                <c:pt idx="0">
                  <c:v>FY2015</c:v>
                </c:pt>
                <c:pt idx="1">
                  <c:v>FY2016</c:v>
                </c:pt>
                <c:pt idx="2">
                  <c:v>FY2017</c:v>
                </c:pt>
                <c:pt idx="3">
                  <c:v>FY2018</c:v>
                </c:pt>
                <c:pt idx="4">
                  <c:v>FY2019</c:v>
                </c:pt>
                <c:pt idx="5">
                  <c:v>FY2020</c:v>
                </c:pt>
                <c:pt idx="6">
                  <c:v>FY2021</c:v>
                </c:pt>
                <c:pt idx="7">
                  <c:v>FY2022</c:v>
                </c:pt>
                <c:pt idx="8">
                  <c:v> FY2023 </c:v>
                </c:pt>
                <c:pt idx="9">
                  <c:v>FY2024</c:v>
                </c:pt>
                <c:pt idx="10">
                  <c:v>FY2025 est</c:v>
                </c:pt>
              </c:strCache>
            </c:strRef>
          </c:cat>
          <c:val>
            <c:numRef>
              <c:f>Unreserved!$S$54:$S$64</c:f>
              <c:numCache>
                <c:formatCode>_(* #,##0_);_(* \(#,##0\);_(* "-"??_);_(@_)</c:formatCode>
                <c:ptCount val="11"/>
                <c:pt idx="0">
                  <c:v>1497</c:v>
                </c:pt>
                <c:pt idx="1">
                  <c:v>2282</c:v>
                </c:pt>
                <c:pt idx="2">
                  <c:v>2349</c:v>
                </c:pt>
                <c:pt idx="3">
                  <c:v>4375</c:v>
                </c:pt>
                <c:pt idx="4">
                  <c:v>4391</c:v>
                </c:pt>
                <c:pt idx="5">
                  <c:v>1454</c:v>
                </c:pt>
                <c:pt idx="6">
                  <c:v>1171</c:v>
                </c:pt>
                <c:pt idx="7">
                  <c:v>3379</c:v>
                </c:pt>
                <c:pt idx="8">
                  <c:v>2740</c:v>
                </c:pt>
                <c:pt idx="9">
                  <c:v>3866</c:v>
                </c:pt>
                <c:pt idx="10">
                  <c:v>4500</c:v>
                </c:pt>
              </c:numCache>
            </c:numRef>
          </c:val>
          <c:extLst>
            <c:ext xmlns:c16="http://schemas.microsoft.com/office/drawing/2014/chart" uri="{C3380CC4-5D6E-409C-BE32-E72D297353CC}">
              <c16:uniqueId val="{00000002-FAC1-428A-9DC4-491D91377839}"/>
            </c:ext>
          </c:extLst>
        </c:ser>
        <c:dLbls>
          <c:showLegendKey val="0"/>
          <c:showVal val="0"/>
          <c:showCatName val="0"/>
          <c:showSerName val="0"/>
          <c:showPercent val="0"/>
          <c:showBubbleSize val="0"/>
        </c:dLbls>
        <c:gapWidth val="219"/>
        <c:overlap val="100"/>
        <c:axId val="1249268623"/>
        <c:axId val="1249273903"/>
        <c:extLst>
          <c:ext xmlns:c15="http://schemas.microsoft.com/office/drawing/2012/chart" uri="{02D57815-91ED-43cb-92C2-25804820EDAC}">
            <c15:filteredBarSeries>
              <c15:ser>
                <c:idx val="1"/>
                <c:order val="1"/>
                <c:tx>
                  <c:strRef>
                    <c:extLst>
                      <c:ext uri="{02D57815-91ED-43cb-92C2-25804820EDAC}">
                        <c15:formulaRef>
                          <c15:sqref>Unreserved!$R$53</c15:sqref>
                        </c15:formulaRef>
                      </c:ext>
                    </c:extLst>
                    <c:strCache>
                      <c:ptCount val="1"/>
                      <c:pt idx="0">
                        <c:v>Total EB-5 visas issued</c:v>
                      </c:pt>
                    </c:strCache>
                  </c:strRef>
                </c:tx>
                <c:spPr>
                  <a:solidFill>
                    <a:schemeClr val="accent5"/>
                  </a:solidFill>
                  <a:ln>
                    <a:noFill/>
                  </a:ln>
                  <a:effectLst/>
                </c:spPr>
                <c:invertIfNegative val="0"/>
                <c:cat>
                  <c:strRef>
                    <c:extLst>
                      <c:ext uri="{02D57815-91ED-43cb-92C2-25804820EDAC}">
                        <c15:formulaRef>
                          <c15:sqref>Unreserved!$P$54:$P$64</c15:sqref>
                        </c15:formulaRef>
                      </c:ext>
                    </c:extLst>
                    <c:strCache>
                      <c:ptCount val="11"/>
                      <c:pt idx="0">
                        <c:v>FY2015</c:v>
                      </c:pt>
                      <c:pt idx="1">
                        <c:v>FY2016</c:v>
                      </c:pt>
                      <c:pt idx="2">
                        <c:v>FY2017</c:v>
                      </c:pt>
                      <c:pt idx="3">
                        <c:v>FY2018</c:v>
                      </c:pt>
                      <c:pt idx="4">
                        <c:v>FY2019</c:v>
                      </c:pt>
                      <c:pt idx="5">
                        <c:v>FY2020</c:v>
                      </c:pt>
                      <c:pt idx="6">
                        <c:v>FY2021</c:v>
                      </c:pt>
                      <c:pt idx="7">
                        <c:v>FY2022</c:v>
                      </c:pt>
                      <c:pt idx="8">
                        <c:v> FY2023 </c:v>
                      </c:pt>
                      <c:pt idx="9">
                        <c:v>FY2024</c:v>
                      </c:pt>
                      <c:pt idx="10">
                        <c:v>FY2025 est</c:v>
                      </c:pt>
                    </c:strCache>
                  </c:strRef>
                </c:cat>
                <c:val>
                  <c:numRef>
                    <c:extLst>
                      <c:ext uri="{02D57815-91ED-43cb-92C2-25804820EDAC}">
                        <c15:formulaRef>
                          <c15:sqref>Unreserved!$R$54:$R$64</c15:sqref>
                        </c15:formulaRef>
                      </c:ext>
                    </c:extLst>
                    <c:numCache>
                      <c:formatCode>_(* #,##0_);_(* \(#,##0\);_(* "-"??_);_(@_)</c:formatCode>
                      <c:ptCount val="11"/>
                      <c:pt idx="0">
                        <c:v>9764</c:v>
                      </c:pt>
                      <c:pt idx="1">
                        <c:v>9947</c:v>
                      </c:pt>
                      <c:pt idx="2">
                        <c:v>10090</c:v>
                      </c:pt>
                      <c:pt idx="3">
                        <c:v>9602</c:v>
                      </c:pt>
                      <c:pt idx="4">
                        <c:v>9478</c:v>
                      </c:pt>
                      <c:pt idx="5">
                        <c:v>3596</c:v>
                      </c:pt>
                      <c:pt idx="6">
                        <c:v>2949</c:v>
                      </c:pt>
                      <c:pt idx="7">
                        <c:v>10885</c:v>
                      </c:pt>
                      <c:pt idx="8">
                        <c:v>9817</c:v>
                      </c:pt>
                      <c:pt idx="9">
                        <c:v>14501</c:v>
                      </c:pt>
                      <c:pt idx="10">
                        <c:v>11470</c:v>
                      </c:pt>
                    </c:numCache>
                  </c:numRef>
                </c:val>
                <c:extLst>
                  <c:ext xmlns:c16="http://schemas.microsoft.com/office/drawing/2014/chart" uri="{C3380CC4-5D6E-409C-BE32-E72D297353CC}">
                    <c16:uniqueId val="{00000001-FAC1-428A-9DC4-491D91377839}"/>
                  </c:ext>
                </c:extLst>
              </c15:ser>
            </c15:filteredBarSeries>
          </c:ext>
        </c:extLst>
      </c:barChart>
      <c:catAx>
        <c:axId val="124926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273903"/>
        <c:crosses val="autoZero"/>
        <c:auto val="1"/>
        <c:lblAlgn val="ctr"/>
        <c:lblOffset val="100"/>
        <c:noMultiLvlLbl val="0"/>
      </c:catAx>
      <c:valAx>
        <c:axId val="1249273903"/>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2686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Trend in Reserved</a:t>
            </a:r>
            <a:r>
              <a:rPr lang="en-US" sz="1200" b="1" baseline="0"/>
              <a:t> Visa Issuance through Consular Processing FY2025 to date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Progress!$B$97</c:f>
              <c:strCache>
                <c:ptCount val="1"/>
                <c:pt idx="0">
                  <c:v>High Unemployment visas issued</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Progress!$C$96:$J$96</c:f>
              <c:numCache>
                <c:formatCode>mmm\-yy</c:formatCode>
                <c:ptCount val="8"/>
                <c:pt idx="0">
                  <c:v>45566</c:v>
                </c:pt>
                <c:pt idx="1">
                  <c:v>45597</c:v>
                </c:pt>
                <c:pt idx="2">
                  <c:v>45627</c:v>
                </c:pt>
                <c:pt idx="3">
                  <c:v>45658</c:v>
                </c:pt>
                <c:pt idx="4">
                  <c:v>45689</c:v>
                </c:pt>
                <c:pt idx="5">
                  <c:v>45717</c:v>
                </c:pt>
                <c:pt idx="6">
                  <c:v>45748</c:v>
                </c:pt>
                <c:pt idx="7">
                  <c:v>45778</c:v>
                </c:pt>
              </c:numCache>
            </c:numRef>
          </c:cat>
          <c:val>
            <c:numRef>
              <c:f>Progress!$C$97:$J$97</c:f>
              <c:numCache>
                <c:formatCode>_(* #,##0_);_(* \(#,##0\);_(* "-"??_);_(@_)</c:formatCode>
                <c:ptCount val="8"/>
                <c:pt idx="0">
                  <c:v>3</c:v>
                </c:pt>
                <c:pt idx="2">
                  <c:v>21</c:v>
                </c:pt>
                <c:pt idx="3">
                  <c:v>24</c:v>
                </c:pt>
                <c:pt idx="4">
                  <c:v>42</c:v>
                </c:pt>
                <c:pt idx="5">
                  <c:v>37</c:v>
                </c:pt>
                <c:pt idx="6">
                  <c:v>9</c:v>
                </c:pt>
                <c:pt idx="7">
                  <c:v>15</c:v>
                </c:pt>
              </c:numCache>
            </c:numRef>
          </c:val>
          <c:extLst>
            <c:ext xmlns:c16="http://schemas.microsoft.com/office/drawing/2014/chart" uri="{C3380CC4-5D6E-409C-BE32-E72D297353CC}">
              <c16:uniqueId val="{00000000-98E4-4348-A6AA-66D5AA35DF8C}"/>
            </c:ext>
          </c:extLst>
        </c:ser>
        <c:ser>
          <c:idx val="1"/>
          <c:order val="1"/>
          <c:tx>
            <c:strRef>
              <c:f>Progress!$B$98</c:f>
              <c:strCache>
                <c:ptCount val="1"/>
                <c:pt idx="0">
                  <c:v>Rural visas issued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Progress!$C$96:$J$96</c:f>
              <c:numCache>
                <c:formatCode>mmm\-yy</c:formatCode>
                <c:ptCount val="8"/>
                <c:pt idx="0">
                  <c:v>45566</c:v>
                </c:pt>
                <c:pt idx="1">
                  <c:v>45597</c:v>
                </c:pt>
                <c:pt idx="2">
                  <c:v>45627</c:v>
                </c:pt>
                <c:pt idx="3">
                  <c:v>45658</c:v>
                </c:pt>
                <c:pt idx="4">
                  <c:v>45689</c:v>
                </c:pt>
                <c:pt idx="5">
                  <c:v>45717</c:v>
                </c:pt>
                <c:pt idx="6">
                  <c:v>45748</c:v>
                </c:pt>
                <c:pt idx="7">
                  <c:v>45778</c:v>
                </c:pt>
              </c:numCache>
            </c:numRef>
          </c:cat>
          <c:val>
            <c:numRef>
              <c:f>Progress!$C$98:$J$98</c:f>
              <c:numCache>
                <c:formatCode>_(* #,##0_);_(* \(#,##0\);_(* "-"??_);_(@_)</c:formatCode>
                <c:ptCount val="8"/>
                <c:pt idx="0">
                  <c:v>2</c:v>
                </c:pt>
                <c:pt idx="1">
                  <c:v>4</c:v>
                </c:pt>
                <c:pt idx="2">
                  <c:v>15</c:v>
                </c:pt>
                <c:pt idx="3">
                  <c:v>20</c:v>
                </c:pt>
                <c:pt idx="4">
                  <c:v>51</c:v>
                </c:pt>
                <c:pt idx="5">
                  <c:v>195</c:v>
                </c:pt>
                <c:pt idx="6">
                  <c:v>53</c:v>
                </c:pt>
                <c:pt idx="7">
                  <c:v>56</c:v>
                </c:pt>
              </c:numCache>
            </c:numRef>
          </c:val>
          <c:extLst>
            <c:ext xmlns:c16="http://schemas.microsoft.com/office/drawing/2014/chart" uri="{C3380CC4-5D6E-409C-BE32-E72D297353CC}">
              <c16:uniqueId val="{00000001-98E4-4348-A6AA-66D5AA35DF8C}"/>
            </c:ext>
          </c:extLst>
        </c:ser>
        <c:dLbls>
          <c:dLblPos val="outEnd"/>
          <c:showLegendKey val="0"/>
          <c:showVal val="1"/>
          <c:showCatName val="0"/>
          <c:showSerName val="0"/>
          <c:showPercent val="0"/>
          <c:showBubbleSize val="0"/>
        </c:dLbls>
        <c:gapWidth val="219"/>
        <c:overlap val="-27"/>
        <c:axId val="1178512048"/>
        <c:axId val="1178511568"/>
      </c:barChart>
      <c:dateAx>
        <c:axId val="117851204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511568"/>
        <c:crosses val="autoZero"/>
        <c:auto val="1"/>
        <c:lblOffset val="100"/>
        <c:baseTimeUnit val="months"/>
      </c:dateAx>
      <c:valAx>
        <c:axId val="1178511568"/>
        <c:scaling>
          <c:orientation val="minMax"/>
        </c:scaling>
        <c:delete val="1"/>
        <c:axPos val="l"/>
        <c:numFmt formatCode="_(* #,##0_);_(* \(#,##0\);_(* &quot;-&quot;??_);_(@_)" sourceLinked="1"/>
        <c:majorTickMark val="none"/>
        <c:minorTickMark val="none"/>
        <c:tickLblPos val="nextTo"/>
        <c:crossAx val="1178512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Post-RIA Processing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Progress!$C$5</c:f>
              <c:strCache>
                <c:ptCount val="1"/>
                <c:pt idx="0">
                  <c:v>I-956F Approved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Progress!$B$6:$B$17</c:f>
              <c:strCache>
                <c:ptCount val="12"/>
                <c:pt idx="0">
                  <c:v>2022 Q3 Apr - Jun 2022</c:v>
                </c:pt>
                <c:pt idx="1">
                  <c:v>2022 Q4 Jul - Sep 2022</c:v>
                </c:pt>
                <c:pt idx="2">
                  <c:v>2023 Q1 Oct - Dec 2022</c:v>
                </c:pt>
                <c:pt idx="3">
                  <c:v>2023 Q2 Jan - Mar 2023</c:v>
                </c:pt>
                <c:pt idx="4">
                  <c:v>2023 Q3 Apr - Jun 2023</c:v>
                </c:pt>
                <c:pt idx="5">
                  <c:v>2023 Q4 Jul - Sep 2023</c:v>
                </c:pt>
                <c:pt idx="6">
                  <c:v>2024 Q1 Oct - Dec 2023</c:v>
                </c:pt>
                <c:pt idx="7">
                  <c:v>2024 Q2 Jan - Mar 2024</c:v>
                </c:pt>
                <c:pt idx="8">
                  <c:v>2024 Q3 Apr - Jun 2024</c:v>
                </c:pt>
                <c:pt idx="9">
                  <c:v>2024 Q4 Jul - Sep 2024</c:v>
                </c:pt>
                <c:pt idx="10">
                  <c:v>2025 Q1 Oct - Dec 2024</c:v>
                </c:pt>
                <c:pt idx="11">
                  <c:v>2025 Q2 Jan - Mar 2025</c:v>
                </c:pt>
              </c:strCache>
            </c:strRef>
          </c:cat>
          <c:val>
            <c:numRef>
              <c:f>Progress!$C$6:$C$17</c:f>
              <c:numCache>
                <c:formatCode>_(* #,##0_);_(* \(#,##0\);_(* "-"??_);_(@_)</c:formatCode>
                <c:ptCount val="12"/>
                <c:pt idx="3">
                  <c:v>0</c:v>
                </c:pt>
                <c:pt idx="4">
                  <c:v>0</c:v>
                </c:pt>
                <c:pt idx="5">
                  <c:v>0</c:v>
                </c:pt>
                <c:pt idx="6">
                  <c:v>0</c:v>
                </c:pt>
                <c:pt idx="7">
                  <c:v>60</c:v>
                </c:pt>
                <c:pt idx="8">
                  <c:v>88</c:v>
                </c:pt>
                <c:pt idx="9">
                  <c:v>94</c:v>
                </c:pt>
                <c:pt idx="10">
                  <c:v>30</c:v>
                </c:pt>
                <c:pt idx="11">
                  <c:v>0</c:v>
                </c:pt>
              </c:numCache>
            </c:numRef>
          </c:val>
          <c:extLst>
            <c:ext xmlns:c16="http://schemas.microsoft.com/office/drawing/2014/chart" uri="{C3380CC4-5D6E-409C-BE32-E72D297353CC}">
              <c16:uniqueId val="{00000000-E760-4E2F-9C8E-1C959A8E16D3}"/>
            </c:ext>
          </c:extLst>
        </c:ser>
        <c:ser>
          <c:idx val="1"/>
          <c:order val="1"/>
          <c:tx>
            <c:strRef>
              <c:f>Progress!$G$5</c:f>
              <c:strCache>
                <c:ptCount val="1"/>
                <c:pt idx="0">
                  <c:v>Total Post-RIA I-526/I-526E Processed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Progress!$B$6:$B$17</c:f>
              <c:strCache>
                <c:ptCount val="12"/>
                <c:pt idx="0">
                  <c:v>2022 Q3 Apr - Jun 2022</c:v>
                </c:pt>
                <c:pt idx="1">
                  <c:v>2022 Q4 Jul - Sep 2022</c:v>
                </c:pt>
                <c:pt idx="2">
                  <c:v>2023 Q1 Oct - Dec 2022</c:v>
                </c:pt>
                <c:pt idx="3">
                  <c:v>2023 Q2 Jan - Mar 2023</c:v>
                </c:pt>
                <c:pt idx="4">
                  <c:v>2023 Q3 Apr - Jun 2023</c:v>
                </c:pt>
                <c:pt idx="5">
                  <c:v>2023 Q4 Jul - Sep 2023</c:v>
                </c:pt>
                <c:pt idx="6">
                  <c:v>2024 Q1 Oct - Dec 2023</c:v>
                </c:pt>
                <c:pt idx="7">
                  <c:v>2024 Q2 Jan - Mar 2024</c:v>
                </c:pt>
                <c:pt idx="8">
                  <c:v>2024 Q3 Apr - Jun 2024</c:v>
                </c:pt>
                <c:pt idx="9">
                  <c:v>2024 Q4 Jul - Sep 2024</c:v>
                </c:pt>
                <c:pt idx="10">
                  <c:v>2025 Q1 Oct - Dec 2024</c:v>
                </c:pt>
                <c:pt idx="11">
                  <c:v>2025 Q2 Jan - Mar 2025</c:v>
                </c:pt>
              </c:strCache>
            </c:strRef>
          </c:cat>
          <c:val>
            <c:numRef>
              <c:f>Progress!$G$6:$G$17</c:f>
              <c:numCache>
                <c:formatCode>_(* #,##0_);_(* \(#,##0\);_(* "-"??_);_(@_)</c:formatCode>
                <c:ptCount val="12"/>
                <c:pt idx="0">
                  <c:v>0</c:v>
                </c:pt>
                <c:pt idx="1">
                  <c:v>0</c:v>
                </c:pt>
                <c:pt idx="2">
                  <c:v>0</c:v>
                </c:pt>
                <c:pt idx="3">
                  <c:v>0</c:v>
                </c:pt>
                <c:pt idx="4">
                  <c:v>0</c:v>
                </c:pt>
                <c:pt idx="5">
                  <c:v>63</c:v>
                </c:pt>
                <c:pt idx="6">
                  <c:v>194</c:v>
                </c:pt>
                <c:pt idx="7">
                  <c:v>172</c:v>
                </c:pt>
                <c:pt idx="8">
                  <c:v>332</c:v>
                </c:pt>
                <c:pt idx="9">
                  <c:v>421</c:v>
                </c:pt>
                <c:pt idx="10">
                  <c:v>303</c:v>
                </c:pt>
                <c:pt idx="11">
                  <c:v>219</c:v>
                </c:pt>
              </c:numCache>
            </c:numRef>
          </c:val>
          <c:extLst>
            <c:ext xmlns:c16="http://schemas.microsoft.com/office/drawing/2014/chart" uri="{C3380CC4-5D6E-409C-BE32-E72D297353CC}">
              <c16:uniqueId val="{00000001-E760-4E2F-9C8E-1C959A8E16D3}"/>
            </c:ext>
          </c:extLst>
        </c:ser>
        <c:dLbls>
          <c:dLblPos val="outEnd"/>
          <c:showLegendKey val="0"/>
          <c:showVal val="1"/>
          <c:showCatName val="0"/>
          <c:showSerName val="0"/>
          <c:showPercent val="0"/>
          <c:showBubbleSize val="0"/>
        </c:dLbls>
        <c:gapWidth val="219"/>
        <c:overlap val="-27"/>
        <c:axId val="859677088"/>
        <c:axId val="859678048"/>
      </c:barChart>
      <c:catAx>
        <c:axId val="85967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678048"/>
        <c:crosses val="autoZero"/>
        <c:auto val="1"/>
        <c:lblAlgn val="ctr"/>
        <c:lblOffset val="100"/>
        <c:noMultiLvlLbl val="0"/>
      </c:catAx>
      <c:valAx>
        <c:axId val="859678048"/>
        <c:scaling>
          <c:orientation val="minMax"/>
        </c:scaling>
        <c:delete val="1"/>
        <c:axPos val="l"/>
        <c:numFmt formatCode="_(* #,##0_);_(* \(#,##0\);_(* &quot;-&quot;??_);_(@_)" sourceLinked="1"/>
        <c:majorTickMark val="none"/>
        <c:minorTickMark val="none"/>
        <c:tickLblPos val="nextTo"/>
        <c:crossAx val="859677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Post-RIA I-526/I-526E Inventory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Progress!#REF!</c:f>
              <c:strCache>
                <c:ptCount val="1"/>
                <c:pt idx="0">
                  <c:v>#REF!</c:v>
                </c:pt>
              </c:strCache>
            </c:strRef>
          </c:tx>
          <c:spPr>
            <a:solidFill>
              <a:schemeClr val="accent1"/>
            </a:solidFill>
            <a:ln>
              <a:noFill/>
            </a:ln>
            <a:effectLst/>
          </c:spPr>
          <c:invertIfNegative val="0"/>
          <c:val>
            <c:numRef>
              <c:f>Progress!#REF!</c:f>
              <c:numCache>
                <c:formatCode>_(* #,##0_);_(* \(#,##0\);_(* "-"??_);_(@_)</c:formatCode>
                <c:ptCount val="12"/>
                <c:pt idx="0">
                  <c:v>32</c:v>
                </c:pt>
                <c:pt idx="1">
                  <c:v>220</c:v>
                </c:pt>
                <c:pt idx="2">
                  <c:v>673</c:v>
                </c:pt>
                <c:pt idx="3">
                  <c:v>1208</c:v>
                </c:pt>
                <c:pt idx="4">
                  <c:v>1907</c:v>
                </c:pt>
                <c:pt idx="5">
                  <c:v>2852</c:v>
                </c:pt>
                <c:pt idx="6">
                  <c:v>3465</c:v>
                </c:pt>
                <c:pt idx="7">
                  <c:v>5344</c:v>
                </c:pt>
                <c:pt idx="8">
                  <c:v>5608</c:v>
                </c:pt>
                <c:pt idx="9">
                  <c:v>6689</c:v>
                </c:pt>
                <c:pt idx="10">
                  <c:v>8111</c:v>
                </c:pt>
                <c:pt idx="11">
                  <c:v>10029</c:v>
                </c:pt>
              </c:numCache>
            </c:numRef>
          </c:val>
          <c:extLst>
            <c:ext xmlns:c15="http://schemas.microsoft.com/office/drawing/2012/chart" uri="{02D57815-91ED-43cb-92C2-25804820EDAC}">
              <c15:filteredCategoryTitle>
                <c15:cat>
                  <c:strRef>
                    <c:extLst>
                      <c:ext uri="{02D57815-91ED-43cb-92C2-25804820EDAC}">
                        <c15:formulaRef>
                          <c15:sqref>Progress!#REF!</c15:sqref>
                        </c15:formulaRef>
                      </c:ext>
                    </c:extLst>
                    <c:strCache>
                      <c:ptCount val="12"/>
                      <c:pt idx="0">
                        <c:v>6/30/2022</c:v>
                      </c:pt>
                      <c:pt idx="1">
                        <c:v>9/31/2022</c:v>
                      </c:pt>
                      <c:pt idx="2">
                        <c:v>12/31/2022</c:v>
                      </c:pt>
                      <c:pt idx="3">
                        <c:v>3/31/2023</c:v>
                      </c:pt>
                      <c:pt idx="4">
                        <c:v>6/30/2023</c:v>
                      </c:pt>
                      <c:pt idx="5">
                        <c:v>9/31/2023</c:v>
                      </c:pt>
                      <c:pt idx="6">
                        <c:v>12/31/2023</c:v>
                      </c:pt>
                      <c:pt idx="7">
                        <c:v>3/31/2024</c:v>
                      </c:pt>
                      <c:pt idx="8">
                        <c:v>6/30/2024</c:v>
                      </c:pt>
                      <c:pt idx="9">
                        <c:v>9/31/2024</c:v>
                      </c:pt>
                      <c:pt idx="10">
                        <c:v>12/31/2024</c:v>
                      </c:pt>
                      <c:pt idx="11">
                        <c:v>3/31/2025</c:v>
                      </c:pt>
                    </c:strCache>
                  </c:strRef>
                </c15:cat>
              </c15:filteredCategoryTitle>
            </c:ext>
            <c:ext xmlns:c16="http://schemas.microsoft.com/office/drawing/2014/chart" uri="{C3380CC4-5D6E-409C-BE32-E72D297353CC}">
              <c16:uniqueId val="{00000000-A2CC-4B68-A4BC-9E9B43D99743}"/>
            </c:ext>
          </c:extLst>
        </c:ser>
        <c:ser>
          <c:idx val="1"/>
          <c:order val="1"/>
          <c:tx>
            <c:strRef>
              <c:f>Progress!$J$5</c:f>
              <c:strCache>
                <c:ptCount val="1"/>
              </c:strCache>
            </c:strRef>
          </c:tx>
          <c:spPr>
            <a:solidFill>
              <a:schemeClr val="accent2"/>
            </a:solidFill>
            <a:ln>
              <a:noFill/>
            </a:ln>
            <a:effectLst/>
          </c:spPr>
          <c:invertIfNegative val="0"/>
          <c:val>
            <c:numRef>
              <c:f>Progress!$J$6:$J$17</c:f>
              <c:numCache>
                <c:formatCode>General</c:formatCode>
                <c:ptCount val="12"/>
              </c:numCache>
            </c:numRef>
          </c:val>
          <c:extLst>
            <c:ext xmlns:c15="http://schemas.microsoft.com/office/drawing/2012/chart" uri="{02D57815-91ED-43cb-92C2-25804820EDAC}">
              <c15:filteredCategoryTitle>
                <c15:cat>
                  <c:strRef>
                    <c:extLst>
                      <c:ext uri="{02D57815-91ED-43cb-92C2-25804820EDAC}">
                        <c15:formulaRef>
                          <c15:sqref>Progress!#REF!</c15:sqref>
                        </c15:formulaRef>
                      </c:ext>
                    </c:extLst>
                    <c:strCache>
                      <c:ptCount val="12"/>
                      <c:pt idx="0">
                        <c:v>6/30/2022</c:v>
                      </c:pt>
                      <c:pt idx="1">
                        <c:v>9/31/2022</c:v>
                      </c:pt>
                      <c:pt idx="2">
                        <c:v>12/31/2022</c:v>
                      </c:pt>
                      <c:pt idx="3">
                        <c:v>3/31/2023</c:v>
                      </c:pt>
                      <c:pt idx="4">
                        <c:v>6/30/2023</c:v>
                      </c:pt>
                      <c:pt idx="5">
                        <c:v>9/31/2023</c:v>
                      </c:pt>
                      <c:pt idx="6">
                        <c:v>12/31/2023</c:v>
                      </c:pt>
                      <c:pt idx="7">
                        <c:v>3/31/2024</c:v>
                      </c:pt>
                      <c:pt idx="8">
                        <c:v>6/30/2024</c:v>
                      </c:pt>
                      <c:pt idx="9">
                        <c:v>9/31/2024</c:v>
                      </c:pt>
                      <c:pt idx="10">
                        <c:v>12/31/2024</c:v>
                      </c:pt>
                      <c:pt idx="11">
                        <c:v>3/31/2025</c:v>
                      </c:pt>
                    </c:strCache>
                  </c:strRef>
                </c15:cat>
              </c15:filteredCategoryTitle>
            </c:ext>
            <c:ext xmlns:c16="http://schemas.microsoft.com/office/drawing/2014/chart" uri="{C3380CC4-5D6E-409C-BE32-E72D297353CC}">
              <c16:uniqueId val="{00000001-A2CC-4B68-A4BC-9E9B43D99743}"/>
            </c:ext>
          </c:extLst>
        </c:ser>
        <c:dLbls>
          <c:showLegendKey val="0"/>
          <c:showVal val="0"/>
          <c:showCatName val="0"/>
          <c:showSerName val="0"/>
          <c:showPercent val="0"/>
          <c:showBubbleSize val="0"/>
        </c:dLbls>
        <c:gapWidth val="150"/>
        <c:axId val="1184826944"/>
        <c:axId val="1184827424"/>
      </c:barChart>
      <c:lineChart>
        <c:grouping val="standard"/>
        <c:varyColors val="0"/>
        <c:ser>
          <c:idx val="2"/>
          <c:order val="2"/>
          <c:tx>
            <c:strRef>
              <c:f>Progress!$K$5</c:f>
              <c:strCache>
                <c:ptCount val="1"/>
              </c:strCache>
            </c:strRef>
          </c:tx>
          <c:spPr>
            <a:ln w="28575" cap="rnd">
              <a:solidFill>
                <a:srgbClr val="FFC000"/>
              </a:solidFill>
              <a:round/>
            </a:ln>
            <a:effectLst/>
          </c:spPr>
          <c:marker>
            <c:symbol val="none"/>
          </c:marker>
          <c:val>
            <c:numRef>
              <c:f>Progress!$K$6:$K$17</c:f>
              <c:numCache>
                <c:formatCode>0%</c:formatCode>
                <c:ptCount val="12"/>
              </c:numCache>
            </c:numRef>
          </c:val>
          <c:smooth val="0"/>
          <c:extLst>
            <c:ext xmlns:c15="http://schemas.microsoft.com/office/drawing/2012/chart" uri="{02D57815-91ED-43cb-92C2-25804820EDAC}">
              <c15:filteredCategoryTitle>
                <c15:cat>
                  <c:strRef>
                    <c:extLst>
                      <c:ext uri="{02D57815-91ED-43cb-92C2-25804820EDAC}">
                        <c15:formulaRef>
                          <c15:sqref>Progress!#REF!</c15:sqref>
                        </c15:formulaRef>
                      </c:ext>
                    </c:extLst>
                    <c:strCache>
                      <c:ptCount val="12"/>
                      <c:pt idx="0">
                        <c:v>6/30/2022</c:v>
                      </c:pt>
                      <c:pt idx="1">
                        <c:v>9/31/2022</c:v>
                      </c:pt>
                      <c:pt idx="2">
                        <c:v>12/31/2022</c:v>
                      </c:pt>
                      <c:pt idx="3">
                        <c:v>3/31/2023</c:v>
                      </c:pt>
                      <c:pt idx="4">
                        <c:v>6/30/2023</c:v>
                      </c:pt>
                      <c:pt idx="5">
                        <c:v>9/31/2023</c:v>
                      </c:pt>
                      <c:pt idx="6">
                        <c:v>12/31/2023</c:v>
                      </c:pt>
                      <c:pt idx="7">
                        <c:v>3/31/2024</c:v>
                      </c:pt>
                      <c:pt idx="8">
                        <c:v>6/30/2024</c:v>
                      </c:pt>
                      <c:pt idx="9">
                        <c:v>9/31/2024</c:v>
                      </c:pt>
                      <c:pt idx="10">
                        <c:v>12/31/2024</c:v>
                      </c:pt>
                      <c:pt idx="11">
                        <c:v>3/31/2025</c:v>
                      </c:pt>
                    </c:strCache>
                  </c:strRef>
                </c15:cat>
              </c15:filteredCategoryTitle>
            </c:ext>
            <c:ext xmlns:c16="http://schemas.microsoft.com/office/drawing/2014/chart" uri="{C3380CC4-5D6E-409C-BE32-E72D297353CC}">
              <c16:uniqueId val="{00000002-A2CC-4B68-A4BC-9E9B43D99743}"/>
            </c:ext>
          </c:extLst>
        </c:ser>
        <c:dLbls>
          <c:showLegendKey val="0"/>
          <c:showVal val="0"/>
          <c:showCatName val="0"/>
          <c:showSerName val="0"/>
          <c:showPercent val="0"/>
          <c:showBubbleSize val="0"/>
        </c:dLbls>
        <c:marker val="1"/>
        <c:smooth val="0"/>
        <c:axId val="1179801616"/>
        <c:axId val="1179802576"/>
      </c:lineChart>
      <c:catAx>
        <c:axId val="118482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827424"/>
        <c:crosses val="autoZero"/>
        <c:auto val="1"/>
        <c:lblAlgn val="ctr"/>
        <c:lblOffset val="100"/>
        <c:noMultiLvlLbl val="0"/>
      </c:catAx>
      <c:valAx>
        <c:axId val="1184827424"/>
        <c:scaling>
          <c:orientation val="minMax"/>
          <c:max val="10029"/>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826944"/>
        <c:crosses val="autoZero"/>
        <c:crossBetween val="between"/>
        <c:majorUnit val="2000"/>
      </c:valAx>
      <c:valAx>
        <c:axId val="1179802576"/>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801616"/>
        <c:crosses val="max"/>
        <c:crossBetween val="between"/>
        <c:majorUnit val="0.2"/>
      </c:valAx>
      <c:catAx>
        <c:axId val="1179801616"/>
        <c:scaling>
          <c:orientation val="minMax"/>
        </c:scaling>
        <c:delete val="1"/>
        <c:axPos val="b"/>
        <c:numFmt formatCode="General" sourceLinked="1"/>
        <c:majorTickMark val="out"/>
        <c:minorTickMark val="none"/>
        <c:tickLblPos val="nextTo"/>
        <c:crossAx val="117980257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Trend in Reserved</a:t>
            </a:r>
            <a:r>
              <a:rPr lang="en-US" sz="1200" b="1" baseline="0"/>
              <a:t> Visa Issuance through Consular Processing FY2025 to date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Progress!$B$101</c:f>
              <c:strCache>
                <c:ptCount val="1"/>
                <c:pt idx="0">
                  <c:v>Unreserved (Pre-RIA) visas issued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Progress!$C$96:$J$96</c:f>
              <c:numCache>
                <c:formatCode>mmm\-yy</c:formatCode>
                <c:ptCount val="8"/>
                <c:pt idx="0">
                  <c:v>45566</c:v>
                </c:pt>
                <c:pt idx="1">
                  <c:v>45597</c:v>
                </c:pt>
                <c:pt idx="2">
                  <c:v>45627</c:v>
                </c:pt>
                <c:pt idx="3">
                  <c:v>45658</c:v>
                </c:pt>
                <c:pt idx="4">
                  <c:v>45689</c:v>
                </c:pt>
                <c:pt idx="5">
                  <c:v>45717</c:v>
                </c:pt>
                <c:pt idx="6">
                  <c:v>45748</c:v>
                </c:pt>
                <c:pt idx="7">
                  <c:v>45778</c:v>
                </c:pt>
              </c:numCache>
            </c:numRef>
          </c:cat>
          <c:val>
            <c:numRef>
              <c:f>Progress!$C$101:$J$101</c:f>
              <c:numCache>
                <c:formatCode>_(* #,##0_);_(* \(#,##0\);_(* "-"??_);_(@_)</c:formatCode>
                <c:ptCount val="8"/>
                <c:pt idx="0">
                  <c:v>1883</c:v>
                </c:pt>
                <c:pt idx="1">
                  <c:v>1535</c:v>
                </c:pt>
                <c:pt idx="2">
                  <c:v>1112</c:v>
                </c:pt>
                <c:pt idx="3">
                  <c:v>832</c:v>
                </c:pt>
                <c:pt idx="4">
                  <c:v>735</c:v>
                </c:pt>
                <c:pt idx="5">
                  <c:v>1372</c:v>
                </c:pt>
                <c:pt idx="6">
                  <c:v>478</c:v>
                </c:pt>
                <c:pt idx="7">
                  <c:v>380</c:v>
                </c:pt>
              </c:numCache>
            </c:numRef>
          </c:val>
          <c:extLst>
            <c:ext xmlns:c16="http://schemas.microsoft.com/office/drawing/2014/chart" uri="{C3380CC4-5D6E-409C-BE32-E72D297353CC}">
              <c16:uniqueId val="{00000001-94EA-4FEC-B507-CB3A2762415C}"/>
            </c:ext>
          </c:extLst>
        </c:ser>
        <c:dLbls>
          <c:dLblPos val="outEnd"/>
          <c:showLegendKey val="0"/>
          <c:showVal val="1"/>
          <c:showCatName val="0"/>
          <c:showSerName val="0"/>
          <c:showPercent val="0"/>
          <c:showBubbleSize val="0"/>
        </c:dLbls>
        <c:gapWidth val="219"/>
        <c:overlap val="-27"/>
        <c:axId val="1178512048"/>
        <c:axId val="1178511568"/>
        <c:extLst>
          <c:ext xmlns:c15="http://schemas.microsoft.com/office/drawing/2012/chart" uri="{02D57815-91ED-43cb-92C2-25804820EDAC}">
            <c15:filteredBarSeries>
              <c15:ser>
                <c:idx val="0"/>
                <c:order val="0"/>
                <c:tx>
                  <c:strRef>
                    <c:extLst>
                      <c:ext uri="{02D57815-91ED-43cb-92C2-25804820EDAC}">
                        <c15:formulaRef>
                          <c15:sqref>Progress!$B$97</c15:sqref>
                        </c15:formulaRef>
                      </c:ext>
                    </c:extLst>
                    <c:strCache>
                      <c:ptCount val="1"/>
                      <c:pt idx="0">
                        <c:v>High Unemployment visas issued</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Progress!$C$96:$J$96</c15:sqref>
                        </c15:formulaRef>
                      </c:ext>
                    </c:extLst>
                    <c:numCache>
                      <c:formatCode>mmm\-yy</c:formatCode>
                      <c:ptCount val="8"/>
                      <c:pt idx="0">
                        <c:v>45566</c:v>
                      </c:pt>
                      <c:pt idx="1">
                        <c:v>45597</c:v>
                      </c:pt>
                      <c:pt idx="2">
                        <c:v>45627</c:v>
                      </c:pt>
                      <c:pt idx="3">
                        <c:v>45658</c:v>
                      </c:pt>
                      <c:pt idx="4">
                        <c:v>45689</c:v>
                      </c:pt>
                      <c:pt idx="5">
                        <c:v>45717</c:v>
                      </c:pt>
                      <c:pt idx="6">
                        <c:v>45748</c:v>
                      </c:pt>
                      <c:pt idx="7">
                        <c:v>45778</c:v>
                      </c:pt>
                    </c:numCache>
                  </c:numRef>
                </c:cat>
                <c:val>
                  <c:numRef>
                    <c:extLst>
                      <c:ext uri="{02D57815-91ED-43cb-92C2-25804820EDAC}">
                        <c15:formulaRef>
                          <c15:sqref>Progress!$C$97:$J$97</c15:sqref>
                        </c15:formulaRef>
                      </c:ext>
                    </c:extLst>
                    <c:numCache>
                      <c:formatCode>_(* #,##0_);_(* \(#,##0\);_(* "-"??_);_(@_)</c:formatCode>
                      <c:ptCount val="8"/>
                      <c:pt idx="0">
                        <c:v>3</c:v>
                      </c:pt>
                      <c:pt idx="2">
                        <c:v>21</c:v>
                      </c:pt>
                      <c:pt idx="3">
                        <c:v>24</c:v>
                      </c:pt>
                      <c:pt idx="4">
                        <c:v>42</c:v>
                      </c:pt>
                      <c:pt idx="5">
                        <c:v>37</c:v>
                      </c:pt>
                      <c:pt idx="6">
                        <c:v>9</c:v>
                      </c:pt>
                      <c:pt idx="7">
                        <c:v>15</c:v>
                      </c:pt>
                    </c:numCache>
                  </c:numRef>
                </c:val>
                <c:extLst>
                  <c:ext xmlns:c16="http://schemas.microsoft.com/office/drawing/2014/chart" uri="{C3380CC4-5D6E-409C-BE32-E72D297353CC}">
                    <c16:uniqueId val="{00000000-94EA-4FEC-B507-CB3A2762415C}"/>
                  </c:ext>
                </c:extLst>
              </c15:ser>
            </c15:filteredBarSeries>
          </c:ext>
        </c:extLst>
      </c:barChart>
      <c:dateAx>
        <c:axId val="1178512048"/>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511568"/>
        <c:crosses val="autoZero"/>
        <c:auto val="1"/>
        <c:lblOffset val="100"/>
        <c:baseTimeUnit val="months"/>
      </c:dateAx>
      <c:valAx>
        <c:axId val="1178511568"/>
        <c:scaling>
          <c:orientation val="minMax"/>
        </c:scaling>
        <c:delete val="1"/>
        <c:axPos val="l"/>
        <c:numFmt formatCode="_(* #,##0_);_(* \(#,##0\);_(* &quot;-&quot;??_);_(@_)" sourceLinked="1"/>
        <c:majorTickMark val="none"/>
        <c:minorTickMark val="none"/>
        <c:tickLblPos val="nextTo"/>
        <c:crossAx val="1178512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3"/>
          <c:tx>
            <c:strRef>
              <c:f>Progress!$B$108</c:f>
              <c:strCache>
                <c:ptCount val="1"/>
                <c:pt idx="0">
                  <c:v>Unreserved (Pre-RIA)</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Progress!$C$104:$F$104</c:f>
              <c:strCache>
                <c:ptCount val="4"/>
                <c:pt idx="0">
                  <c:v>Total</c:v>
                </c:pt>
                <c:pt idx="1">
                  <c:v>China</c:v>
                </c:pt>
                <c:pt idx="2">
                  <c:v>India</c:v>
                </c:pt>
                <c:pt idx="3">
                  <c:v>ROW</c:v>
                </c:pt>
              </c:strCache>
            </c:strRef>
          </c:cat>
          <c:val>
            <c:numRef>
              <c:f>Progress!$C$108:$F$108</c:f>
              <c:numCache>
                <c:formatCode>_(* #,##0_);_(* \(#,##0\);_(* "-"??_);_(@_)</c:formatCode>
                <c:ptCount val="4"/>
                <c:pt idx="0">
                  <c:v>9734</c:v>
                </c:pt>
                <c:pt idx="1">
                  <c:v>4223</c:v>
                </c:pt>
                <c:pt idx="2">
                  <c:v>738</c:v>
                </c:pt>
                <c:pt idx="3">
                  <c:v>4773</c:v>
                </c:pt>
              </c:numCache>
            </c:numRef>
          </c:val>
          <c:extLst>
            <c:ext xmlns:c16="http://schemas.microsoft.com/office/drawing/2014/chart" uri="{C3380CC4-5D6E-409C-BE32-E72D297353CC}">
              <c16:uniqueId val="{00000003-90FB-4A1A-B2A1-BB3A1B0F8D4C}"/>
            </c:ext>
          </c:extLst>
        </c:ser>
        <c:dLbls>
          <c:dLblPos val="outEnd"/>
          <c:showLegendKey val="0"/>
          <c:showVal val="1"/>
          <c:showCatName val="0"/>
          <c:showSerName val="0"/>
          <c:showPercent val="0"/>
          <c:showBubbleSize val="0"/>
        </c:dLbls>
        <c:gapWidth val="219"/>
        <c:overlap val="-27"/>
        <c:axId val="1118720736"/>
        <c:axId val="1118723616"/>
        <c:extLst>
          <c:ext xmlns:c15="http://schemas.microsoft.com/office/drawing/2012/chart" uri="{02D57815-91ED-43cb-92C2-25804820EDAC}">
            <c15:filteredBarSeries>
              <c15:ser>
                <c:idx val="0"/>
                <c:order val="0"/>
                <c:tx>
                  <c:strRef>
                    <c:extLst>
                      <c:ext uri="{02D57815-91ED-43cb-92C2-25804820EDAC}">
                        <c15:formulaRef>
                          <c15:sqref>Progress!$B$105</c15:sqref>
                        </c15:formulaRef>
                      </c:ext>
                    </c:extLst>
                    <c:strCache>
                      <c:ptCount val="1"/>
                      <c:pt idx="0">
                        <c:v>High Unemployment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Progress!$C$104:$F$104</c15:sqref>
                        </c15:formulaRef>
                      </c:ext>
                    </c:extLst>
                    <c:strCache>
                      <c:ptCount val="4"/>
                      <c:pt idx="0">
                        <c:v>Total</c:v>
                      </c:pt>
                      <c:pt idx="1">
                        <c:v>China</c:v>
                      </c:pt>
                      <c:pt idx="2">
                        <c:v>India</c:v>
                      </c:pt>
                      <c:pt idx="3">
                        <c:v>ROW</c:v>
                      </c:pt>
                    </c:strCache>
                  </c:strRef>
                </c:cat>
                <c:val>
                  <c:numRef>
                    <c:extLst>
                      <c:ext uri="{02D57815-91ED-43cb-92C2-25804820EDAC}">
                        <c15:formulaRef>
                          <c15:sqref>Progress!$C$105:$F$105</c15:sqref>
                        </c15:formulaRef>
                      </c:ext>
                    </c:extLst>
                    <c:numCache>
                      <c:formatCode>_(* #,##0_);_(* \(#,##0\);_(* "-"??_);_(@_)</c:formatCode>
                      <c:ptCount val="4"/>
                      <c:pt idx="0">
                        <c:v>204</c:v>
                      </c:pt>
                      <c:pt idx="1">
                        <c:v>53</c:v>
                      </c:pt>
                      <c:pt idx="2">
                        <c:v>32</c:v>
                      </c:pt>
                      <c:pt idx="3">
                        <c:v>119</c:v>
                      </c:pt>
                    </c:numCache>
                  </c:numRef>
                </c:val>
                <c:extLst>
                  <c:ext xmlns:c16="http://schemas.microsoft.com/office/drawing/2014/chart" uri="{C3380CC4-5D6E-409C-BE32-E72D297353CC}">
                    <c16:uniqueId val="{00000000-90FB-4A1A-B2A1-BB3A1B0F8D4C}"/>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Progress!$B$106</c15:sqref>
                        </c15:formulaRef>
                      </c:ext>
                    </c:extLst>
                    <c:strCache>
                      <c:ptCount val="1"/>
                      <c:pt idx="0">
                        <c:v>Rural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Progress!$C$104:$F$104</c15:sqref>
                        </c15:formulaRef>
                      </c:ext>
                    </c:extLst>
                    <c:strCache>
                      <c:ptCount val="4"/>
                      <c:pt idx="0">
                        <c:v>Total</c:v>
                      </c:pt>
                      <c:pt idx="1">
                        <c:v>China</c:v>
                      </c:pt>
                      <c:pt idx="2">
                        <c:v>India</c:v>
                      </c:pt>
                      <c:pt idx="3">
                        <c:v>ROW</c:v>
                      </c:pt>
                    </c:strCache>
                  </c:strRef>
                </c:cat>
                <c:val>
                  <c:numRef>
                    <c:extLst xmlns:c15="http://schemas.microsoft.com/office/drawing/2012/chart">
                      <c:ext xmlns:c15="http://schemas.microsoft.com/office/drawing/2012/chart" uri="{02D57815-91ED-43cb-92C2-25804820EDAC}">
                        <c15:formulaRef>
                          <c15:sqref>Progress!$C$106:$F$106</c15:sqref>
                        </c15:formulaRef>
                      </c:ext>
                    </c:extLst>
                    <c:numCache>
                      <c:formatCode>_(* #,##0_);_(* \(#,##0\);_(* "-"??_);_(@_)</c:formatCode>
                      <c:ptCount val="4"/>
                      <c:pt idx="0">
                        <c:v>694</c:v>
                      </c:pt>
                      <c:pt idx="1">
                        <c:v>513</c:v>
                      </c:pt>
                      <c:pt idx="2">
                        <c:v>93</c:v>
                      </c:pt>
                      <c:pt idx="3">
                        <c:v>88</c:v>
                      </c:pt>
                    </c:numCache>
                  </c:numRef>
                </c:val>
                <c:extLst xmlns:c15="http://schemas.microsoft.com/office/drawing/2012/chart">
                  <c:ext xmlns:c16="http://schemas.microsoft.com/office/drawing/2014/chart" uri="{C3380CC4-5D6E-409C-BE32-E72D297353CC}">
                    <c16:uniqueId val="{00000001-90FB-4A1A-B2A1-BB3A1B0F8D4C}"/>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Progress!$B$107</c15:sqref>
                        </c15:formulaRef>
                      </c:ext>
                    </c:extLst>
                    <c:strCache>
                      <c:ptCount val="1"/>
                      <c:pt idx="0">
                        <c:v>Unreserved (Post-RIA)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Progress!$C$104:$F$104</c15:sqref>
                        </c15:formulaRef>
                      </c:ext>
                    </c:extLst>
                    <c:strCache>
                      <c:ptCount val="4"/>
                      <c:pt idx="0">
                        <c:v>Total</c:v>
                      </c:pt>
                      <c:pt idx="1">
                        <c:v>China</c:v>
                      </c:pt>
                      <c:pt idx="2">
                        <c:v>India</c:v>
                      </c:pt>
                      <c:pt idx="3">
                        <c:v>ROW</c:v>
                      </c:pt>
                    </c:strCache>
                  </c:strRef>
                </c:cat>
                <c:val>
                  <c:numRef>
                    <c:extLst xmlns:c15="http://schemas.microsoft.com/office/drawing/2012/chart">
                      <c:ext xmlns:c15="http://schemas.microsoft.com/office/drawing/2012/chart" uri="{02D57815-91ED-43cb-92C2-25804820EDAC}">
                        <c15:formulaRef>
                          <c15:sqref>Progress!$C$107:$F$107</c15:sqref>
                        </c15:formulaRef>
                      </c:ext>
                    </c:extLst>
                    <c:numCache>
                      <c:formatCode>_(* #,##0_);_(* \(#,##0\);_(* "-"??_);_(@_)</c:formatCode>
                      <c:ptCount val="4"/>
                      <c:pt idx="0">
                        <c:v>95</c:v>
                      </c:pt>
                      <c:pt idx="3">
                        <c:v>95</c:v>
                      </c:pt>
                    </c:numCache>
                  </c:numRef>
                </c:val>
                <c:extLst xmlns:c15="http://schemas.microsoft.com/office/drawing/2012/chart">
                  <c:ext xmlns:c16="http://schemas.microsoft.com/office/drawing/2014/chart" uri="{C3380CC4-5D6E-409C-BE32-E72D297353CC}">
                    <c16:uniqueId val="{00000002-90FB-4A1A-B2A1-BB3A1B0F8D4C}"/>
                  </c:ext>
                </c:extLst>
              </c15:ser>
            </c15:filteredBarSeries>
          </c:ext>
        </c:extLst>
      </c:barChart>
      <c:catAx>
        <c:axId val="111872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723616"/>
        <c:crosses val="autoZero"/>
        <c:auto val="1"/>
        <c:lblAlgn val="ctr"/>
        <c:lblOffset val="100"/>
        <c:noMultiLvlLbl val="0"/>
      </c:catAx>
      <c:valAx>
        <c:axId val="111872361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720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FY2025 EB-5 Visas</a:t>
            </a:r>
            <a:r>
              <a:rPr lang="en-US" baseline="0"/>
              <a:t> Issued vs Visas Available (consular processing only)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Progress!#REF!</c:f>
              <c:strCache>
                <c:ptCount val="1"/>
                <c:pt idx="0">
                  <c:v>#REF!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Progress!$M$97:$M$101</c:f>
              <c:numCache>
                <c:formatCode>_(* #,##0_);_(* \(#,##0\);_(* "-"??_);_(@_)</c:formatCode>
                <c:ptCount val="5"/>
                <c:pt idx="0">
                  <c:v>1</c:v>
                </c:pt>
                <c:pt idx="1">
                  <c:v>91</c:v>
                </c:pt>
                <c:pt idx="3">
                  <c:v>1</c:v>
                </c:pt>
                <c:pt idx="4">
                  <c:v>419</c:v>
                </c:pt>
              </c:numCache>
            </c:numRef>
          </c:cat>
          <c:val>
            <c:numRef>
              <c:f>Progress!$N$97:$N$101</c:f>
              <c:numCache>
                <c:formatCode>_(* #,##0_);_(* \(#,##0\);_(* "-"??_);_(@_)</c:formatCode>
                <c:ptCount val="5"/>
                <c:pt idx="0">
                  <c:v>2</c:v>
                </c:pt>
                <c:pt idx="1">
                  <c:v>28</c:v>
                </c:pt>
                <c:pt idx="2">
                  <c:v>3</c:v>
                </c:pt>
                <c:pt idx="3">
                  <c:v>4</c:v>
                </c:pt>
                <c:pt idx="4">
                  <c:v>335</c:v>
                </c:pt>
              </c:numCache>
            </c:numRef>
          </c:val>
          <c:extLst>
            <c:ext xmlns:c16="http://schemas.microsoft.com/office/drawing/2014/chart" uri="{C3380CC4-5D6E-409C-BE32-E72D297353CC}">
              <c16:uniqueId val="{00000000-CAB6-49D2-8260-20FE6A80B687}"/>
            </c:ext>
          </c:extLst>
        </c:ser>
        <c:ser>
          <c:idx val="1"/>
          <c:order val="1"/>
          <c:tx>
            <c:strRef>
              <c:f>Progress!$N$96</c:f>
              <c:strCache>
                <c:ptCount val="1"/>
                <c:pt idx="0">
                  <c:v>Sep-25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Progress!$M$97:$M$101</c:f>
              <c:numCache>
                <c:formatCode>_(* #,##0_);_(* \(#,##0\);_(* "-"??_);_(@_)</c:formatCode>
                <c:ptCount val="5"/>
                <c:pt idx="0">
                  <c:v>1</c:v>
                </c:pt>
                <c:pt idx="1">
                  <c:v>91</c:v>
                </c:pt>
                <c:pt idx="3">
                  <c:v>1</c:v>
                </c:pt>
                <c:pt idx="4">
                  <c:v>419</c:v>
                </c:pt>
              </c:numCache>
            </c:numRef>
          </c:cat>
          <c:val>
            <c:numRef>
              <c:f>Progress!$O$97:$O$101</c:f>
              <c:numCache>
                <c:formatCode>0</c:formatCode>
                <c:ptCount val="5"/>
                <c:pt idx="0">
                  <c:v>204</c:v>
                </c:pt>
                <c:pt idx="1">
                  <c:v>694</c:v>
                </c:pt>
                <c:pt idx="2">
                  <c:v>3</c:v>
                </c:pt>
                <c:pt idx="3">
                  <c:v>95</c:v>
                </c:pt>
                <c:pt idx="4">
                  <c:v>9734</c:v>
                </c:pt>
              </c:numCache>
            </c:numRef>
          </c:val>
          <c:extLst>
            <c:ext xmlns:c16="http://schemas.microsoft.com/office/drawing/2014/chart" uri="{C3380CC4-5D6E-409C-BE32-E72D297353CC}">
              <c16:uniqueId val="{00000001-CAB6-49D2-8260-20FE6A80B687}"/>
            </c:ext>
          </c:extLst>
        </c:ser>
        <c:dLbls>
          <c:showLegendKey val="0"/>
          <c:showVal val="0"/>
          <c:showCatName val="0"/>
          <c:showSerName val="0"/>
          <c:showPercent val="0"/>
          <c:showBubbleSize val="0"/>
        </c:dLbls>
        <c:gapWidth val="219"/>
        <c:overlap val="-27"/>
        <c:axId val="592393183"/>
        <c:axId val="592413343"/>
      </c:barChart>
      <c:catAx>
        <c:axId val="592393183"/>
        <c:scaling>
          <c:orientation val="minMax"/>
        </c:scaling>
        <c:delete val="0"/>
        <c:axPos val="b"/>
        <c:numFmt formatCode="_(* #,##0_);_(* \(#,##0\);_(* &quot;-&quot;??_);_(@_)"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413343"/>
        <c:crosses val="autoZero"/>
        <c:auto val="1"/>
        <c:lblAlgn val="ctr"/>
        <c:lblOffset val="100"/>
        <c:noMultiLvlLbl val="0"/>
      </c:catAx>
      <c:valAx>
        <c:axId val="592413343"/>
        <c:scaling>
          <c:orientation val="minMax"/>
        </c:scaling>
        <c:delete val="1"/>
        <c:axPos val="l"/>
        <c:numFmt formatCode="_(* #,##0_);_(* \(#,##0\);_(* &quot;-&quot;??_);_(@_)" sourceLinked="1"/>
        <c:majorTickMark val="none"/>
        <c:minorTickMark val="none"/>
        <c:tickLblPos val="nextTo"/>
        <c:crossAx val="592393183"/>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Consular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Progress!$B$97</c:f>
              <c:strCache>
                <c:ptCount val="1"/>
                <c:pt idx="0">
                  <c:v>High Unemployment visas issued</c:v>
                </c:pt>
              </c:strCache>
            </c:strRef>
          </c:tx>
          <c:spPr>
            <a:ln w="28575" cap="rnd">
              <a:solidFill>
                <a:schemeClr val="accent1"/>
              </a:solidFill>
              <a:round/>
            </a:ln>
            <a:effectLst/>
          </c:spPr>
          <c:marker>
            <c:symbol val="none"/>
          </c:marker>
          <c:cat>
            <c:numRef>
              <c:f>Progress!$C$96:$N$96</c:f>
              <c:numCache>
                <c:formatCode>mmm\-yy</c:formatCode>
                <c:ptCount val="12"/>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numCache>
            </c:numRef>
          </c:cat>
          <c:val>
            <c:numRef>
              <c:f>Progress!$C$97:$N$97</c:f>
              <c:numCache>
                <c:formatCode>_(* #,##0_);_(* \(#,##0\);_(* "-"??_);_(@_)</c:formatCode>
                <c:ptCount val="12"/>
                <c:pt idx="0">
                  <c:v>3</c:v>
                </c:pt>
                <c:pt idx="2">
                  <c:v>21</c:v>
                </c:pt>
                <c:pt idx="3">
                  <c:v>24</c:v>
                </c:pt>
                <c:pt idx="4">
                  <c:v>42</c:v>
                </c:pt>
                <c:pt idx="5">
                  <c:v>37</c:v>
                </c:pt>
                <c:pt idx="6">
                  <c:v>9</c:v>
                </c:pt>
                <c:pt idx="7">
                  <c:v>15</c:v>
                </c:pt>
                <c:pt idx="8">
                  <c:v>30</c:v>
                </c:pt>
                <c:pt idx="9" formatCode="General">
                  <c:v>20</c:v>
                </c:pt>
                <c:pt idx="10">
                  <c:v>1</c:v>
                </c:pt>
                <c:pt idx="11">
                  <c:v>2</c:v>
                </c:pt>
              </c:numCache>
            </c:numRef>
          </c:val>
          <c:smooth val="0"/>
          <c:extLst>
            <c:ext xmlns:c16="http://schemas.microsoft.com/office/drawing/2014/chart" uri="{C3380CC4-5D6E-409C-BE32-E72D297353CC}">
              <c16:uniqueId val="{00000000-9B61-4E21-986D-ABD3F4D547F5}"/>
            </c:ext>
          </c:extLst>
        </c:ser>
        <c:ser>
          <c:idx val="1"/>
          <c:order val="1"/>
          <c:tx>
            <c:strRef>
              <c:f>Progress!$B$98</c:f>
              <c:strCache>
                <c:ptCount val="1"/>
                <c:pt idx="0">
                  <c:v>Rural visas issued</c:v>
                </c:pt>
              </c:strCache>
            </c:strRef>
          </c:tx>
          <c:spPr>
            <a:ln w="28575" cap="rnd">
              <a:solidFill>
                <a:schemeClr val="accent2"/>
              </a:solidFill>
              <a:round/>
            </a:ln>
            <a:effectLst/>
          </c:spPr>
          <c:marker>
            <c:symbol val="none"/>
          </c:marker>
          <c:cat>
            <c:numRef>
              <c:f>Progress!$C$96:$N$96</c:f>
              <c:numCache>
                <c:formatCode>mmm\-yy</c:formatCode>
                <c:ptCount val="12"/>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numCache>
            </c:numRef>
          </c:cat>
          <c:val>
            <c:numRef>
              <c:f>Progress!$C$98:$N$98</c:f>
              <c:numCache>
                <c:formatCode>_(* #,##0_);_(* \(#,##0\);_(* "-"??_);_(@_)</c:formatCode>
                <c:ptCount val="12"/>
                <c:pt idx="0">
                  <c:v>2</c:v>
                </c:pt>
                <c:pt idx="1">
                  <c:v>4</c:v>
                </c:pt>
                <c:pt idx="2">
                  <c:v>15</c:v>
                </c:pt>
                <c:pt idx="3">
                  <c:v>20</c:v>
                </c:pt>
                <c:pt idx="4">
                  <c:v>51</c:v>
                </c:pt>
                <c:pt idx="5">
                  <c:v>195</c:v>
                </c:pt>
                <c:pt idx="6">
                  <c:v>53</c:v>
                </c:pt>
                <c:pt idx="7">
                  <c:v>56</c:v>
                </c:pt>
                <c:pt idx="8">
                  <c:v>20</c:v>
                </c:pt>
                <c:pt idx="9" formatCode="General">
                  <c:v>159</c:v>
                </c:pt>
                <c:pt idx="10">
                  <c:v>91</c:v>
                </c:pt>
                <c:pt idx="11">
                  <c:v>28</c:v>
                </c:pt>
              </c:numCache>
            </c:numRef>
          </c:val>
          <c:smooth val="0"/>
          <c:extLst>
            <c:ext xmlns:c16="http://schemas.microsoft.com/office/drawing/2014/chart" uri="{C3380CC4-5D6E-409C-BE32-E72D297353CC}">
              <c16:uniqueId val="{00000001-9B61-4E21-986D-ABD3F4D547F5}"/>
            </c:ext>
          </c:extLst>
        </c:ser>
        <c:dLbls>
          <c:showLegendKey val="0"/>
          <c:showVal val="0"/>
          <c:showCatName val="0"/>
          <c:showSerName val="0"/>
          <c:showPercent val="0"/>
          <c:showBubbleSize val="0"/>
        </c:dLbls>
        <c:smooth val="0"/>
        <c:axId val="1741645824"/>
        <c:axId val="1741628064"/>
      </c:lineChart>
      <c:dateAx>
        <c:axId val="174164582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628064"/>
        <c:crosses val="autoZero"/>
        <c:auto val="1"/>
        <c:lblOffset val="100"/>
        <c:baseTimeUnit val="months"/>
      </c:dateAx>
      <c:valAx>
        <c:axId val="174162806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645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Consular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Progress!$B$101</c:f>
              <c:strCache>
                <c:ptCount val="1"/>
                <c:pt idx="0">
                  <c:v>Unreserved (Pre-RIA) visas issued</c:v>
                </c:pt>
              </c:strCache>
            </c:strRef>
          </c:tx>
          <c:spPr>
            <a:ln w="28575" cap="rnd">
              <a:solidFill>
                <a:schemeClr val="accent1"/>
              </a:solidFill>
              <a:round/>
            </a:ln>
            <a:effectLst/>
          </c:spPr>
          <c:marker>
            <c:symbol val="none"/>
          </c:marker>
          <c:cat>
            <c:numRef>
              <c:f>Progress!$C$96:$N$96</c:f>
              <c:numCache>
                <c:formatCode>mmm\-yy</c:formatCode>
                <c:ptCount val="12"/>
                <c:pt idx="0">
                  <c:v>45566</c:v>
                </c:pt>
                <c:pt idx="1">
                  <c:v>45597</c:v>
                </c:pt>
                <c:pt idx="2">
                  <c:v>45627</c:v>
                </c:pt>
                <c:pt idx="3">
                  <c:v>45658</c:v>
                </c:pt>
                <c:pt idx="4">
                  <c:v>45689</c:v>
                </c:pt>
                <c:pt idx="5">
                  <c:v>45717</c:v>
                </c:pt>
                <c:pt idx="6">
                  <c:v>45748</c:v>
                </c:pt>
                <c:pt idx="7">
                  <c:v>45778</c:v>
                </c:pt>
                <c:pt idx="8">
                  <c:v>45809</c:v>
                </c:pt>
                <c:pt idx="9">
                  <c:v>45839</c:v>
                </c:pt>
                <c:pt idx="10">
                  <c:v>45870</c:v>
                </c:pt>
                <c:pt idx="11">
                  <c:v>45901</c:v>
                </c:pt>
              </c:numCache>
            </c:numRef>
          </c:cat>
          <c:val>
            <c:numRef>
              <c:f>Progress!$C$101:$N$101</c:f>
              <c:numCache>
                <c:formatCode>_(* #,##0_);_(* \(#,##0\);_(* "-"??_);_(@_)</c:formatCode>
                <c:ptCount val="12"/>
                <c:pt idx="0">
                  <c:v>1883</c:v>
                </c:pt>
                <c:pt idx="1">
                  <c:v>1535</c:v>
                </c:pt>
                <c:pt idx="2">
                  <c:v>1112</c:v>
                </c:pt>
                <c:pt idx="3">
                  <c:v>832</c:v>
                </c:pt>
                <c:pt idx="4">
                  <c:v>735</c:v>
                </c:pt>
                <c:pt idx="5">
                  <c:v>1372</c:v>
                </c:pt>
                <c:pt idx="6">
                  <c:v>478</c:v>
                </c:pt>
                <c:pt idx="7">
                  <c:v>380</c:v>
                </c:pt>
                <c:pt idx="8">
                  <c:v>325</c:v>
                </c:pt>
                <c:pt idx="9" formatCode="General">
                  <c:v>328</c:v>
                </c:pt>
                <c:pt idx="10">
                  <c:v>419</c:v>
                </c:pt>
                <c:pt idx="11">
                  <c:v>335</c:v>
                </c:pt>
              </c:numCache>
            </c:numRef>
          </c:val>
          <c:smooth val="0"/>
          <c:extLst>
            <c:ext xmlns:c16="http://schemas.microsoft.com/office/drawing/2014/chart" uri="{C3380CC4-5D6E-409C-BE32-E72D297353CC}">
              <c16:uniqueId val="{00000000-27BD-4EA3-821C-B1934F666488}"/>
            </c:ext>
          </c:extLst>
        </c:ser>
        <c:dLbls>
          <c:showLegendKey val="0"/>
          <c:showVal val="0"/>
          <c:showCatName val="0"/>
          <c:showSerName val="0"/>
          <c:showPercent val="0"/>
          <c:showBubbleSize val="0"/>
        </c:dLbls>
        <c:smooth val="0"/>
        <c:axId val="1741645824"/>
        <c:axId val="1741628064"/>
      </c:lineChart>
      <c:dateAx>
        <c:axId val="174164582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628064"/>
        <c:crosses val="autoZero"/>
        <c:auto val="1"/>
        <c:lblOffset val="100"/>
        <c:baseTimeUnit val="months"/>
      </c:dateAx>
      <c:valAx>
        <c:axId val="174162806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645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EB-5 visas</a:t>
            </a:r>
            <a:r>
              <a:rPr lang="en-US" baseline="0"/>
              <a:t> per investor, by year and path of visa issuance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'Pre-RIA Data'!$Q$237</c:f>
              <c:strCache>
                <c:ptCount val="1"/>
                <c:pt idx="0">
                  <c:v>FY2017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'Pre-RIA Data'!$R$236:$T$236</c:f>
              <c:strCache>
                <c:ptCount val="3"/>
                <c:pt idx="0">
                  <c:v>New Arrivals</c:v>
                </c:pt>
                <c:pt idx="1">
                  <c:v>Status Adjustment</c:v>
                </c:pt>
                <c:pt idx="2">
                  <c:v>All</c:v>
                </c:pt>
              </c:strCache>
            </c:strRef>
          </c:cat>
          <c:val>
            <c:numRef>
              <c:f>'Pre-RIA Data'!$R$237:$T$237</c:f>
              <c:numCache>
                <c:formatCode>0.0</c:formatCode>
                <c:ptCount val="3"/>
                <c:pt idx="0">
                  <c:v>2.9558981713875943</c:v>
                </c:pt>
                <c:pt idx="1">
                  <c:v>2.267037552155772</c:v>
                </c:pt>
                <c:pt idx="2">
                  <c:v>2.814709236031927</c:v>
                </c:pt>
              </c:numCache>
            </c:numRef>
          </c:val>
          <c:extLst>
            <c:ext xmlns:c16="http://schemas.microsoft.com/office/drawing/2014/chart" uri="{C3380CC4-5D6E-409C-BE32-E72D297353CC}">
              <c16:uniqueId val="{00000000-2FB4-42F1-8156-F293A25BAC06}"/>
            </c:ext>
          </c:extLst>
        </c:ser>
        <c:ser>
          <c:idx val="1"/>
          <c:order val="1"/>
          <c:tx>
            <c:strRef>
              <c:f>'Pre-RIA Data'!$Q$238</c:f>
              <c:strCache>
                <c:ptCount val="1"/>
                <c:pt idx="0">
                  <c:v>FY2018</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'Pre-RIA Data'!$R$236:$T$236</c:f>
              <c:strCache>
                <c:ptCount val="3"/>
                <c:pt idx="0">
                  <c:v>New Arrivals</c:v>
                </c:pt>
                <c:pt idx="1">
                  <c:v>Status Adjustment</c:v>
                </c:pt>
                <c:pt idx="2">
                  <c:v>All</c:v>
                </c:pt>
              </c:strCache>
            </c:strRef>
          </c:cat>
          <c:val>
            <c:numRef>
              <c:f>'Pre-RIA Data'!$R$238:$T$238</c:f>
              <c:numCache>
                <c:formatCode>0.0</c:formatCode>
                <c:ptCount val="3"/>
                <c:pt idx="0">
                  <c:v>3.0194359756097562</c:v>
                </c:pt>
                <c:pt idx="1">
                  <c:v>2.2976995940460081</c:v>
                </c:pt>
                <c:pt idx="2">
                  <c:v>2.8608385370205176</c:v>
                </c:pt>
              </c:numCache>
            </c:numRef>
          </c:val>
          <c:extLst>
            <c:ext xmlns:c16="http://schemas.microsoft.com/office/drawing/2014/chart" uri="{C3380CC4-5D6E-409C-BE32-E72D297353CC}">
              <c16:uniqueId val="{00000001-2FB4-42F1-8156-F293A25BAC06}"/>
            </c:ext>
          </c:extLst>
        </c:ser>
        <c:ser>
          <c:idx val="2"/>
          <c:order val="2"/>
          <c:tx>
            <c:strRef>
              <c:f>'Pre-RIA Data'!$Q$239</c:f>
              <c:strCache>
                <c:ptCount val="1"/>
                <c:pt idx="0">
                  <c:v>FY2019</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'Pre-RIA Data'!$R$236:$T$236</c:f>
              <c:strCache>
                <c:ptCount val="3"/>
                <c:pt idx="0">
                  <c:v>New Arrivals</c:v>
                </c:pt>
                <c:pt idx="1">
                  <c:v>Status Adjustment</c:v>
                </c:pt>
                <c:pt idx="2">
                  <c:v>All</c:v>
                </c:pt>
              </c:strCache>
            </c:strRef>
          </c:cat>
          <c:val>
            <c:numRef>
              <c:f>'Pre-RIA Data'!$R$239:$T$239</c:f>
              <c:numCache>
                <c:formatCode>0.0</c:formatCode>
                <c:ptCount val="3"/>
                <c:pt idx="0">
                  <c:v>2.927115987460815</c:v>
                </c:pt>
                <c:pt idx="1">
                  <c:v>2.1991814461118691</c:v>
                </c:pt>
                <c:pt idx="2">
                  <c:v>2.7646879756468796</c:v>
                </c:pt>
              </c:numCache>
            </c:numRef>
          </c:val>
          <c:extLst>
            <c:ext xmlns:c16="http://schemas.microsoft.com/office/drawing/2014/chart" uri="{C3380CC4-5D6E-409C-BE32-E72D297353CC}">
              <c16:uniqueId val="{00000002-2FB4-42F1-8156-F293A25BAC06}"/>
            </c:ext>
          </c:extLst>
        </c:ser>
        <c:ser>
          <c:idx val="3"/>
          <c:order val="3"/>
          <c:tx>
            <c:strRef>
              <c:f>'Pre-RIA Data'!$Q$240</c:f>
              <c:strCache>
                <c:ptCount val="1"/>
                <c:pt idx="0">
                  <c:v>FY2020</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'Pre-RIA Data'!$R$236:$T$236</c:f>
              <c:strCache>
                <c:ptCount val="3"/>
                <c:pt idx="0">
                  <c:v>New Arrivals</c:v>
                </c:pt>
                <c:pt idx="1">
                  <c:v>Status Adjustment</c:v>
                </c:pt>
                <c:pt idx="2">
                  <c:v>All</c:v>
                </c:pt>
              </c:strCache>
            </c:strRef>
          </c:cat>
          <c:val>
            <c:numRef>
              <c:f>'Pre-RIA Data'!$R$240:$T$240</c:f>
              <c:numCache>
                <c:formatCode>0.0</c:formatCode>
                <c:ptCount val="3"/>
                <c:pt idx="0">
                  <c:v>2.970998925886144</c:v>
                </c:pt>
                <c:pt idx="1">
                  <c:v>1.9966722129783694</c:v>
                </c:pt>
                <c:pt idx="2">
                  <c:v>2.5887728459530028</c:v>
                </c:pt>
              </c:numCache>
            </c:numRef>
          </c:val>
          <c:extLst>
            <c:ext xmlns:c16="http://schemas.microsoft.com/office/drawing/2014/chart" uri="{C3380CC4-5D6E-409C-BE32-E72D297353CC}">
              <c16:uniqueId val="{00000003-2FB4-42F1-8156-F293A25BAC06}"/>
            </c:ext>
          </c:extLst>
        </c:ser>
        <c:ser>
          <c:idx val="4"/>
          <c:order val="4"/>
          <c:tx>
            <c:strRef>
              <c:f>'Pre-RIA Data'!$Q$241</c:f>
              <c:strCache>
                <c:ptCount val="1"/>
                <c:pt idx="0">
                  <c:v>FY2021</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'Pre-RIA Data'!$R$236:$T$236</c:f>
              <c:strCache>
                <c:ptCount val="3"/>
                <c:pt idx="0">
                  <c:v>New Arrivals</c:v>
                </c:pt>
                <c:pt idx="1">
                  <c:v>Status Adjustment</c:v>
                </c:pt>
                <c:pt idx="2">
                  <c:v>All</c:v>
                </c:pt>
              </c:strCache>
            </c:strRef>
          </c:cat>
          <c:val>
            <c:numRef>
              <c:f>'Pre-RIA Data'!$R$241:$T$241</c:f>
              <c:numCache>
                <c:formatCode>0.0</c:formatCode>
                <c:ptCount val="3"/>
                <c:pt idx="0">
                  <c:v>2.954225352112676</c:v>
                </c:pt>
                <c:pt idx="1">
                  <c:v>1.8582524271844663</c:v>
                </c:pt>
                <c:pt idx="2">
                  <c:v>2.4330563250230841</c:v>
                </c:pt>
              </c:numCache>
            </c:numRef>
          </c:val>
          <c:extLst>
            <c:ext xmlns:c16="http://schemas.microsoft.com/office/drawing/2014/chart" uri="{C3380CC4-5D6E-409C-BE32-E72D297353CC}">
              <c16:uniqueId val="{00000004-2FB4-42F1-8156-F293A25BAC06}"/>
            </c:ext>
          </c:extLst>
        </c:ser>
        <c:ser>
          <c:idx val="5"/>
          <c:order val="5"/>
          <c:tx>
            <c:strRef>
              <c:f>'Pre-RIA Data'!$Q$242</c:f>
              <c:strCache>
                <c:ptCount val="1"/>
                <c:pt idx="0">
                  <c:v>FY2022</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'Pre-RIA Data'!$R$236:$T$236</c:f>
              <c:strCache>
                <c:ptCount val="3"/>
                <c:pt idx="0">
                  <c:v>New Arrivals</c:v>
                </c:pt>
                <c:pt idx="1">
                  <c:v>Status Adjustment</c:v>
                </c:pt>
                <c:pt idx="2">
                  <c:v>All</c:v>
                </c:pt>
              </c:strCache>
            </c:strRef>
          </c:cat>
          <c:val>
            <c:numRef>
              <c:f>'Pre-RIA Data'!$R$242:$T$242</c:f>
              <c:numCache>
                <c:formatCode>0.0</c:formatCode>
                <c:ptCount val="3"/>
                <c:pt idx="0">
                  <c:v>2.8510638297872339</c:v>
                </c:pt>
                <c:pt idx="1">
                  <c:v>1.9086561453849833</c:v>
                </c:pt>
                <c:pt idx="2">
                  <c:v>2.2805442964678631</c:v>
                </c:pt>
              </c:numCache>
            </c:numRef>
          </c:val>
          <c:extLst>
            <c:ext xmlns:c16="http://schemas.microsoft.com/office/drawing/2014/chart" uri="{C3380CC4-5D6E-409C-BE32-E72D297353CC}">
              <c16:uniqueId val="{00000005-2FB4-42F1-8156-F293A25BAC06}"/>
            </c:ext>
          </c:extLst>
        </c:ser>
        <c:ser>
          <c:idx val="6"/>
          <c:order val="6"/>
          <c:tx>
            <c:strRef>
              <c:f>'Pre-RIA Data'!$Q$243</c:f>
              <c:strCache>
                <c:ptCount val="1"/>
                <c:pt idx="0">
                  <c:v>FY2023</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'Pre-RIA Data'!$R$236:$T$236</c:f>
              <c:strCache>
                <c:ptCount val="3"/>
                <c:pt idx="0">
                  <c:v>New Arrivals</c:v>
                </c:pt>
                <c:pt idx="1">
                  <c:v>Status Adjustment</c:v>
                </c:pt>
                <c:pt idx="2">
                  <c:v>All</c:v>
                </c:pt>
              </c:strCache>
            </c:strRef>
          </c:cat>
          <c:val>
            <c:numRef>
              <c:f>'Pre-RIA Data'!$R$243:$T$243</c:f>
              <c:numCache>
                <c:formatCode>0.0</c:formatCode>
                <c:ptCount val="3"/>
                <c:pt idx="0">
                  <c:v>2.6743589743589746</c:v>
                </c:pt>
                <c:pt idx="1">
                  <c:v>2.6727272727272724</c:v>
                </c:pt>
                <c:pt idx="2">
                  <c:v>2.6741573033707864</c:v>
                </c:pt>
              </c:numCache>
            </c:numRef>
          </c:val>
          <c:extLst>
            <c:ext xmlns:c16="http://schemas.microsoft.com/office/drawing/2014/chart" uri="{C3380CC4-5D6E-409C-BE32-E72D297353CC}">
              <c16:uniqueId val="{00000006-2FB4-42F1-8156-F293A25BAC06}"/>
            </c:ext>
          </c:extLst>
        </c:ser>
        <c:dLbls>
          <c:dLblPos val="outEnd"/>
          <c:showLegendKey val="0"/>
          <c:showVal val="1"/>
          <c:showCatName val="0"/>
          <c:showSerName val="0"/>
          <c:showPercent val="0"/>
          <c:showBubbleSize val="0"/>
        </c:dLbls>
        <c:gapWidth val="150"/>
        <c:axId val="1357498079"/>
        <c:axId val="1357494719"/>
      </c:barChart>
      <c:catAx>
        <c:axId val="135749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494719"/>
        <c:crosses val="autoZero"/>
        <c:auto val="1"/>
        <c:lblAlgn val="ctr"/>
        <c:lblOffset val="100"/>
        <c:noMultiLvlLbl val="0"/>
      </c:catAx>
      <c:valAx>
        <c:axId val="135749471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4980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jpe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143608</xdr:colOff>
      <xdr:row>0</xdr:row>
      <xdr:rowOff>78350</xdr:rowOff>
    </xdr:from>
    <xdr:to>
      <xdr:col>3</xdr:col>
      <xdr:colOff>718381</xdr:colOff>
      <xdr:row>3</xdr:row>
      <xdr:rowOff>106578</xdr:rowOff>
    </xdr:to>
    <xdr:pic>
      <xdr:nvPicPr>
        <xdr:cNvPr id="5" name="Picture 4">
          <a:extLst>
            <a:ext uri="{FF2B5EF4-FFF2-40B4-BE49-F238E27FC236}">
              <a16:creationId xmlns:a16="http://schemas.microsoft.com/office/drawing/2014/main" id="{3BE620C3-3E29-E3AF-B44B-12A8C581C3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8300" y="78350"/>
          <a:ext cx="2074594" cy="5557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590550</xdr:colOff>
      <xdr:row>1</xdr:row>
      <xdr:rowOff>114301</xdr:rowOff>
    </xdr:from>
    <xdr:to>
      <xdr:col>10</xdr:col>
      <xdr:colOff>387094</xdr:colOff>
      <xdr:row>12</xdr:row>
      <xdr:rowOff>68036</xdr:rowOff>
    </xdr:to>
    <xdr:pic>
      <xdr:nvPicPr>
        <xdr:cNvPr id="2" name="Picture 1">
          <a:extLst>
            <a:ext uri="{FF2B5EF4-FFF2-40B4-BE49-F238E27FC236}">
              <a16:creationId xmlns:a16="http://schemas.microsoft.com/office/drawing/2014/main" id="{0FD9C055-421A-4D24-820D-74D93303A7FC}"/>
            </a:ext>
          </a:extLst>
        </xdr:cNvPr>
        <xdr:cNvPicPr>
          <a:picLocks noChangeAspect="1"/>
        </xdr:cNvPicPr>
      </xdr:nvPicPr>
      <xdr:blipFill>
        <a:blip xmlns:r="http://schemas.openxmlformats.org/officeDocument/2006/relationships" r:embed="rId1"/>
        <a:stretch>
          <a:fillRect/>
        </a:stretch>
      </xdr:blipFill>
      <xdr:spPr>
        <a:xfrm>
          <a:off x="590550" y="409122"/>
          <a:ext cx="6277173" cy="20741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923924</xdr:colOff>
      <xdr:row>66</xdr:row>
      <xdr:rowOff>14286</xdr:rowOff>
    </xdr:from>
    <xdr:to>
      <xdr:col>7</xdr:col>
      <xdr:colOff>771524</xdr:colOff>
      <xdr:row>85</xdr:row>
      <xdr:rowOff>104775</xdr:rowOff>
    </xdr:to>
    <xdr:graphicFrame macro="">
      <xdr:nvGraphicFramePr>
        <xdr:cNvPr id="3" name="Chart 2">
          <a:extLst>
            <a:ext uri="{FF2B5EF4-FFF2-40B4-BE49-F238E27FC236}">
              <a16:creationId xmlns:a16="http://schemas.microsoft.com/office/drawing/2014/main" id="{FD0CC812-5F5F-83BD-63D0-0DE7FC7AF3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437372</xdr:colOff>
      <xdr:row>41</xdr:row>
      <xdr:rowOff>139764</xdr:rowOff>
    </xdr:from>
    <xdr:to>
      <xdr:col>13</xdr:col>
      <xdr:colOff>619125</xdr:colOff>
      <xdr:row>60</xdr:row>
      <xdr:rowOff>58317</xdr:rowOff>
    </xdr:to>
    <xdr:graphicFrame macro="">
      <xdr:nvGraphicFramePr>
        <xdr:cNvPr id="3" name="Chart 2">
          <a:extLst>
            <a:ext uri="{FF2B5EF4-FFF2-40B4-BE49-F238E27FC236}">
              <a16:creationId xmlns:a16="http://schemas.microsoft.com/office/drawing/2014/main" id="{51AA1D0A-83B6-0992-6EB8-3A815B918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22</xdr:col>
      <xdr:colOff>195772</xdr:colOff>
      <xdr:row>95</xdr:row>
      <xdr:rowOff>181129</xdr:rowOff>
    </xdr:from>
    <xdr:to>
      <xdr:col>29</xdr:col>
      <xdr:colOff>54428</xdr:colOff>
      <xdr:row>112</xdr:row>
      <xdr:rowOff>162779</xdr:rowOff>
    </xdr:to>
    <xdr:graphicFrame macro="">
      <xdr:nvGraphicFramePr>
        <xdr:cNvPr id="2" name="Chart 1">
          <a:extLst>
            <a:ext uri="{FF2B5EF4-FFF2-40B4-BE49-F238E27FC236}">
              <a16:creationId xmlns:a16="http://schemas.microsoft.com/office/drawing/2014/main" id="{879687D5-7DAD-A943-E06E-0A9D93A83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118453</xdr:colOff>
      <xdr:row>6</xdr:row>
      <xdr:rowOff>96921</xdr:rowOff>
    </xdr:from>
    <xdr:to>
      <xdr:col>40</xdr:col>
      <xdr:colOff>341905</xdr:colOff>
      <xdr:row>27</xdr:row>
      <xdr:rowOff>75872</xdr:rowOff>
    </xdr:to>
    <xdr:graphicFrame macro="">
      <xdr:nvGraphicFramePr>
        <xdr:cNvPr id="4" name="Chart 3">
          <a:extLst>
            <a:ext uri="{FF2B5EF4-FFF2-40B4-BE49-F238E27FC236}">
              <a16:creationId xmlns:a16="http://schemas.microsoft.com/office/drawing/2014/main" id="{112343FA-02AC-4801-1583-90078FE32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448540</xdr:colOff>
      <xdr:row>28</xdr:row>
      <xdr:rowOff>128423</xdr:rowOff>
    </xdr:from>
    <xdr:to>
      <xdr:col>39</xdr:col>
      <xdr:colOff>215744</xdr:colOff>
      <xdr:row>91</xdr:row>
      <xdr:rowOff>0</xdr:rowOff>
    </xdr:to>
    <xdr:graphicFrame macro="">
      <xdr:nvGraphicFramePr>
        <xdr:cNvPr id="3" name="Chart 2">
          <a:extLst>
            <a:ext uri="{FF2B5EF4-FFF2-40B4-BE49-F238E27FC236}">
              <a16:creationId xmlns:a16="http://schemas.microsoft.com/office/drawing/2014/main" id="{1E028A60-5777-FD47-7BB7-115D5526D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160422</xdr:colOff>
      <xdr:row>99</xdr:row>
      <xdr:rowOff>160420</xdr:rowOff>
    </xdr:from>
    <xdr:to>
      <xdr:col>34</xdr:col>
      <xdr:colOff>19078</xdr:colOff>
      <xdr:row>116</xdr:row>
      <xdr:rowOff>88596</xdr:rowOff>
    </xdr:to>
    <xdr:graphicFrame macro="">
      <xdr:nvGraphicFramePr>
        <xdr:cNvPr id="5" name="Chart 4">
          <a:extLst>
            <a:ext uri="{FF2B5EF4-FFF2-40B4-BE49-F238E27FC236}">
              <a16:creationId xmlns:a16="http://schemas.microsoft.com/office/drawing/2014/main" id="{97237507-F2CE-4796-A557-96D94B6D9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381000</xdr:colOff>
      <xdr:row>102</xdr:row>
      <xdr:rowOff>52137</xdr:rowOff>
    </xdr:from>
    <xdr:to>
      <xdr:col>29</xdr:col>
      <xdr:colOff>274052</xdr:colOff>
      <xdr:row>118</xdr:row>
      <xdr:rowOff>14705</xdr:rowOff>
    </xdr:to>
    <xdr:graphicFrame macro="">
      <xdr:nvGraphicFramePr>
        <xdr:cNvPr id="6" name="Chart 5">
          <a:extLst>
            <a:ext uri="{FF2B5EF4-FFF2-40B4-BE49-F238E27FC236}">
              <a16:creationId xmlns:a16="http://schemas.microsoft.com/office/drawing/2014/main" id="{D8A5DCAA-C0ED-25A6-2E26-339566D2AA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46790</xdr:colOff>
      <xdr:row>25</xdr:row>
      <xdr:rowOff>159084</xdr:rowOff>
    </xdr:from>
    <xdr:to>
      <xdr:col>28</xdr:col>
      <xdr:colOff>608264</xdr:colOff>
      <xdr:row>37</xdr:row>
      <xdr:rowOff>121652</xdr:rowOff>
    </xdr:to>
    <xdr:graphicFrame macro="">
      <xdr:nvGraphicFramePr>
        <xdr:cNvPr id="7" name="Chart 6">
          <a:extLst>
            <a:ext uri="{FF2B5EF4-FFF2-40B4-BE49-F238E27FC236}">
              <a16:creationId xmlns:a16="http://schemas.microsoft.com/office/drawing/2014/main" id="{18D3F278-3805-1E4B-CBFE-F1DDA4A49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228599</xdr:colOff>
      <xdr:row>91</xdr:row>
      <xdr:rowOff>0</xdr:rowOff>
    </xdr:from>
    <xdr:to>
      <xdr:col>19</xdr:col>
      <xdr:colOff>514350</xdr:colOff>
      <xdr:row>106</xdr:row>
      <xdr:rowOff>104775</xdr:rowOff>
    </xdr:to>
    <xdr:graphicFrame macro="">
      <xdr:nvGraphicFramePr>
        <xdr:cNvPr id="8" name="Chart 7">
          <a:extLst>
            <a:ext uri="{FF2B5EF4-FFF2-40B4-BE49-F238E27FC236}">
              <a16:creationId xmlns:a16="http://schemas.microsoft.com/office/drawing/2014/main" id="{FAB478EA-3C73-9985-A1D5-51AA50BC8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219075</xdr:colOff>
      <xdr:row>107</xdr:row>
      <xdr:rowOff>19050</xdr:rowOff>
    </xdr:from>
    <xdr:to>
      <xdr:col>19</xdr:col>
      <xdr:colOff>542925</xdr:colOff>
      <xdr:row>121</xdr:row>
      <xdr:rowOff>104775</xdr:rowOff>
    </xdr:to>
    <xdr:graphicFrame macro="">
      <xdr:nvGraphicFramePr>
        <xdr:cNvPr id="9" name="Chart 8">
          <a:extLst>
            <a:ext uri="{FF2B5EF4-FFF2-40B4-BE49-F238E27FC236}">
              <a16:creationId xmlns:a16="http://schemas.microsoft.com/office/drawing/2014/main" id="{2C392A04-D2DC-48E2-9A9C-FE974A353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18924</xdr:colOff>
      <xdr:row>68</xdr:row>
      <xdr:rowOff>79697</xdr:rowOff>
    </xdr:from>
    <xdr:to>
      <xdr:col>4</xdr:col>
      <xdr:colOff>188609</xdr:colOff>
      <xdr:row>96</xdr:row>
      <xdr:rowOff>79238</xdr:rowOff>
    </xdr:to>
    <xdr:sp macro="" textlink="">
      <xdr:nvSpPr>
        <xdr:cNvPr id="2" name="TextBox 1">
          <a:extLst>
            <a:ext uri="{FF2B5EF4-FFF2-40B4-BE49-F238E27FC236}">
              <a16:creationId xmlns:a16="http://schemas.microsoft.com/office/drawing/2014/main" id="{DAB3978A-7881-42A3-98D8-67AB2A973A31}"/>
            </a:ext>
          </a:extLst>
        </xdr:cNvPr>
        <xdr:cNvSpPr txBox="1"/>
      </xdr:nvSpPr>
      <xdr:spPr>
        <a:xfrm>
          <a:off x="209424" y="12481247"/>
          <a:ext cx="3932060" cy="17521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Carryover rules:</a:t>
          </a:r>
        </a:p>
        <a:p>
          <a:r>
            <a:rPr lang="en-US" sz="1100"/>
            <a:t>--Any</a:t>
          </a:r>
          <a:r>
            <a:rPr lang="en-US" sz="1100" baseline="0"/>
            <a:t> unused </a:t>
          </a:r>
          <a:r>
            <a:rPr lang="en-US" sz="1100" u="sng" baseline="0"/>
            <a:t>N</a:t>
          </a:r>
          <a:r>
            <a:rPr lang="en-US" sz="1100" u="sng"/>
            <a:t>ew Issue Reserved</a:t>
          </a:r>
          <a:r>
            <a:rPr lang="en-US" sz="1100" u="sng" baseline="0"/>
            <a:t> </a:t>
          </a:r>
          <a:r>
            <a:rPr lang="en-US" sz="1100" baseline="0"/>
            <a:t>visas carry over to the same Reserved category next year</a:t>
          </a:r>
        </a:p>
        <a:p>
          <a:r>
            <a:rPr lang="en-US" sz="1100" baseline="0"/>
            <a:t>--</a:t>
          </a:r>
          <a:r>
            <a:rPr lang="en-US" sz="1100">
              <a:solidFill>
                <a:schemeClr val="dk1"/>
              </a:solidFill>
              <a:effectLst/>
              <a:latin typeface="+mn-lt"/>
              <a:ea typeface="+mn-ea"/>
              <a:cs typeface="+mn-cs"/>
            </a:rPr>
            <a:t>Any</a:t>
          </a:r>
          <a:r>
            <a:rPr lang="en-US" sz="1100" baseline="0">
              <a:solidFill>
                <a:schemeClr val="dk1"/>
              </a:solidFill>
              <a:effectLst/>
              <a:latin typeface="+mn-lt"/>
              <a:ea typeface="+mn-ea"/>
              <a:cs typeface="+mn-cs"/>
            </a:rPr>
            <a:t> unused </a:t>
          </a:r>
          <a:r>
            <a:rPr lang="en-US" sz="1100" u="sng" baseline="0"/>
            <a:t>Carryover Reserved</a:t>
          </a:r>
          <a:r>
            <a:rPr lang="en-US" sz="1100" baseline="0"/>
            <a:t> visas carry over to the Unreserved category next year</a:t>
          </a:r>
        </a:p>
        <a:p>
          <a:r>
            <a:rPr lang="en-US" sz="1100" baseline="0"/>
            <a:t>--When issuing Reserved visas, Department of State will first distribute carryover numbers, before using new issue numbers</a:t>
          </a:r>
        </a:p>
        <a:p>
          <a:r>
            <a:rPr lang="en-US" sz="1100" baseline="0"/>
            <a:t>--Any unused Unreserved visas are lost to EB-5 next year</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16</xdr:col>
      <xdr:colOff>521098</xdr:colOff>
      <xdr:row>14</xdr:row>
      <xdr:rowOff>244361</xdr:rowOff>
    </xdr:from>
    <xdr:to>
      <xdr:col>20</xdr:col>
      <xdr:colOff>237492</xdr:colOff>
      <xdr:row>20</xdr:row>
      <xdr:rowOff>79346</xdr:rowOff>
    </xdr:to>
    <xdr:pic>
      <xdr:nvPicPr>
        <xdr:cNvPr id="2" name="Picture 1">
          <a:extLst>
            <a:ext uri="{FF2B5EF4-FFF2-40B4-BE49-F238E27FC236}">
              <a16:creationId xmlns:a16="http://schemas.microsoft.com/office/drawing/2014/main" id="{3C0C90B0-2D0B-4ED4-8814-0496B6F17000}"/>
            </a:ext>
          </a:extLst>
        </xdr:cNvPr>
        <xdr:cNvPicPr>
          <a:picLocks noChangeAspect="1"/>
        </xdr:cNvPicPr>
      </xdr:nvPicPr>
      <xdr:blipFill>
        <a:blip xmlns:r="http://schemas.openxmlformats.org/officeDocument/2006/relationships" r:embed="rId1"/>
        <a:stretch>
          <a:fillRect/>
        </a:stretch>
      </xdr:blipFill>
      <xdr:spPr>
        <a:xfrm>
          <a:off x="11897758" y="2698001"/>
          <a:ext cx="2154794" cy="1224644"/>
        </a:xfrm>
        <a:prstGeom prst="rect">
          <a:avLst/>
        </a:prstGeom>
      </xdr:spPr>
    </xdr:pic>
    <xdr:clientData/>
  </xdr:twoCellAnchor>
  <xdr:twoCellAnchor editAs="oneCell">
    <xdr:from>
      <xdr:col>16</xdr:col>
      <xdr:colOff>122962</xdr:colOff>
      <xdr:row>13</xdr:row>
      <xdr:rowOff>35595</xdr:rowOff>
    </xdr:from>
    <xdr:to>
      <xdr:col>18</xdr:col>
      <xdr:colOff>505021</xdr:colOff>
      <xdr:row>18</xdr:row>
      <xdr:rowOff>43514</xdr:rowOff>
    </xdr:to>
    <xdr:pic>
      <xdr:nvPicPr>
        <xdr:cNvPr id="3" name="Picture 2">
          <a:extLst>
            <a:ext uri="{FF2B5EF4-FFF2-40B4-BE49-F238E27FC236}">
              <a16:creationId xmlns:a16="http://schemas.microsoft.com/office/drawing/2014/main" id="{E6D95E08-62E9-4C4E-AEE0-472925461299}"/>
            </a:ext>
          </a:extLst>
        </xdr:cNvPr>
        <xdr:cNvPicPr>
          <a:picLocks noChangeAspect="1"/>
        </xdr:cNvPicPr>
      </xdr:nvPicPr>
      <xdr:blipFill>
        <a:blip xmlns:r="http://schemas.openxmlformats.org/officeDocument/2006/relationships" r:embed="rId2"/>
        <a:stretch>
          <a:fillRect/>
        </a:stretch>
      </xdr:blipFill>
      <xdr:spPr>
        <a:xfrm>
          <a:off x="11499622" y="2313975"/>
          <a:ext cx="1601259" cy="120425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15</xdr:col>
      <xdr:colOff>73223</xdr:colOff>
      <xdr:row>590</xdr:row>
      <xdr:rowOff>347382</xdr:rowOff>
    </xdr:from>
    <xdr:ext cx="2462246" cy="1844382"/>
    <xdr:pic>
      <xdr:nvPicPr>
        <xdr:cNvPr id="2" name="Picture 1">
          <a:extLst>
            <a:ext uri="{FF2B5EF4-FFF2-40B4-BE49-F238E27FC236}">
              <a16:creationId xmlns:a16="http://schemas.microsoft.com/office/drawing/2014/main" id="{D569E59C-36B4-44B1-A903-F2DA0FDC3D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88183" y="102287742"/>
          <a:ext cx="2462246" cy="1844382"/>
        </a:xfrm>
        <a:prstGeom prst="rect">
          <a:avLst/>
        </a:prstGeom>
      </xdr:spPr>
    </xdr:pic>
    <xdr:clientData/>
  </xdr:oneCellAnchor>
  <xdr:oneCellAnchor>
    <xdr:from>
      <xdr:col>16</xdr:col>
      <xdr:colOff>35797</xdr:colOff>
      <xdr:row>590</xdr:row>
      <xdr:rowOff>532574</xdr:rowOff>
    </xdr:from>
    <xdr:ext cx="2378332" cy="1541556"/>
    <xdr:pic>
      <xdr:nvPicPr>
        <xdr:cNvPr id="3" name="Picture 2">
          <a:extLst>
            <a:ext uri="{FF2B5EF4-FFF2-40B4-BE49-F238E27FC236}">
              <a16:creationId xmlns:a16="http://schemas.microsoft.com/office/drawing/2014/main" id="{54020981-0024-4C8F-B94D-FD28CB679920}"/>
            </a:ext>
          </a:extLst>
        </xdr:cNvPr>
        <xdr:cNvPicPr>
          <a:picLocks noChangeAspect="1"/>
        </xdr:cNvPicPr>
      </xdr:nvPicPr>
      <xdr:blipFill>
        <a:blip xmlns:r="http://schemas.openxmlformats.org/officeDocument/2006/relationships" r:embed="rId2"/>
        <a:stretch>
          <a:fillRect/>
        </a:stretch>
      </xdr:blipFill>
      <xdr:spPr>
        <a:xfrm>
          <a:off x="13721317" y="102472934"/>
          <a:ext cx="2378332" cy="1541556"/>
        </a:xfrm>
        <a:prstGeom prst="rect">
          <a:avLst/>
        </a:prstGeom>
      </xdr:spPr>
    </xdr:pic>
    <xdr:clientData/>
  </xdr:oneCellAnchor>
  <xdr:oneCellAnchor>
    <xdr:from>
      <xdr:col>16</xdr:col>
      <xdr:colOff>539119</xdr:colOff>
      <xdr:row>590</xdr:row>
      <xdr:rowOff>679747</xdr:rowOff>
    </xdr:from>
    <xdr:ext cx="2053709" cy="1498675"/>
    <xdr:pic>
      <xdr:nvPicPr>
        <xdr:cNvPr id="4" name="Picture 3">
          <a:extLst>
            <a:ext uri="{FF2B5EF4-FFF2-40B4-BE49-F238E27FC236}">
              <a16:creationId xmlns:a16="http://schemas.microsoft.com/office/drawing/2014/main" id="{5FBC5F5A-A4A2-4B83-AEA9-CE1D8383E391}"/>
            </a:ext>
          </a:extLst>
        </xdr:cNvPr>
        <xdr:cNvPicPr>
          <a:picLocks noChangeAspect="1"/>
        </xdr:cNvPicPr>
      </xdr:nvPicPr>
      <xdr:blipFill>
        <a:blip xmlns:r="http://schemas.openxmlformats.org/officeDocument/2006/relationships" r:embed="rId3"/>
        <a:stretch>
          <a:fillRect/>
        </a:stretch>
      </xdr:blipFill>
      <xdr:spPr>
        <a:xfrm>
          <a:off x="14224639" y="102620107"/>
          <a:ext cx="2053709" cy="1498675"/>
        </a:xfrm>
        <a:prstGeom prst="rect">
          <a:avLst/>
        </a:prstGeom>
      </xdr:spPr>
    </xdr:pic>
    <xdr:clientData/>
  </xdr:oneCellAnchor>
  <xdr:oneCellAnchor>
    <xdr:from>
      <xdr:col>17</xdr:col>
      <xdr:colOff>520090</xdr:colOff>
      <xdr:row>590</xdr:row>
      <xdr:rowOff>846156</xdr:rowOff>
    </xdr:from>
    <xdr:ext cx="1311350" cy="1228725"/>
    <xdr:pic>
      <xdr:nvPicPr>
        <xdr:cNvPr id="5" name="Picture 4">
          <a:extLst>
            <a:ext uri="{FF2B5EF4-FFF2-40B4-BE49-F238E27FC236}">
              <a16:creationId xmlns:a16="http://schemas.microsoft.com/office/drawing/2014/main" id="{B71C2699-67EC-4F71-AE56-556288FADC02}"/>
            </a:ext>
          </a:extLst>
        </xdr:cNvPr>
        <xdr:cNvPicPr>
          <a:picLocks noChangeAspect="1"/>
        </xdr:cNvPicPr>
      </xdr:nvPicPr>
      <xdr:blipFill>
        <a:blip xmlns:r="http://schemas.openxmlformats.org/officeDocument/2006/relationships" r:embed="rId4"/>
        <a:stretch>
          <a:fillRect/>
        </a:stretch>
      </xdr:blipFill>
      <xdr:spPr>
        <a:xfrm>
          <a:off x="14876170" y="102786516"/>
          <a:ext cx="1311350" cy="1228725"/>
        </a:xfrm>
        <a:prstGeom prst="rect">
          <a:avLst/>
        </a:prstGeom>
      </xdr:spPr>
    </xdr:pic>
    <xdr:clientData/>
  </xdr:oneCellAnchor>
  <xdr:oneCellAnchor>
    <xdr:from>
      <xdr:col>13</xdr:col>
      <xdr:colOff>369795</xdr:colOff>
      <xdr:row>603</xdr:row>
      <xdr:rowOff>122593</xdr:rowOff>
    </xdr:from>
    <xdr:ext cx="3911110" cy="2276475"/>
    <xdr:pic>
      <xdr:nvPicPr>
        <xdr:cNvPr id="6" name="Picture 5">
          <a:extLst>
            <a:ext uri="{FF2B5EF4-FFF2-40B4-BE49-F238E27FC236}">
              <a16:creationId xmlns:a16="http://schemas.microsoft.com/office/drawing/2014/main" id="{76668CC9-D3B0-40F1-A2FF-CDBAFF603F17}"/>
            </a:ext>
          </a:extLst>
        </xdr:cNvPr>
        <xdr:cNvPicPr>
          <a:picLocks noChangeAspect="1"/>
        </xdr:cNvPicPr>
      </xdr:nvPicPr>
      <xdr:blipFill>
        <a:blip xmlns:r="http://schemas.openxmlformats.org/officeDocument/2006/relationships" r:embed="rId5"/>
        <a:stretch>
          <a:fillRect/>
        </a:stretch>
      </xdr:blipFill>
      <xdr:spPr>
        <a:xfrm>
          <a:off x="11030175" y="105049993"/>
          <a:ext cx="3911110" cy="2276475"/>
        </a:xfrm>
        <a:prstGeom prst="rect">
          <a:avLst/>
        </a:prstGeom>
      </xdr:spPr>
    </xdr:pic>
    <xdr:clientData/>
  </xdr:oneCellAnchor>
  <xdr:oneCellAnchor>
    <xdr:from>
      <xdr:col>14</xdr:col>
      <xdr:colOff>517945</xdr:colOff>
      <xdr:row>604</xdr:row>
      <xdr:rowOff>174812</xdr:rowOff>
    </xdr:from>
    <xdr:ext cx="4098880" cy="2293574"/>
    <xdr:pic>
      <xdr:nvPicPr>
        <xdr:cNvPr id="7" name="Picture 6">
          <a:extLst>
            <a:ext uri="{FF2B5EF4-FFF2-40B4-BE49-F238E27FC236}">
              <a16:creationId xmlns:a16="http://schemas.microsoft.com/office/drawing/2014/main" id="{5D6DF5DD-A653-4439-A8A0-0D264CD6E0EF}"/>
            </a:ext>
          </a:extLst>
        </xdr:cNvPr>
        <xdr:cNvPicPr>
          <a:picLocks noChangeAspect="1"/>
        </xdr:cNvPicPr>
      </xdr:nvPicPr>
      <xdr:blipFill>
        <a:blip xmlns:r="http://schemas.openxmlformats.org/officeDocument/2006/relationships" r:embed="rId6"/>
        <a:stretch>
          <a:fillRect/>
        </a:stretch>
      </xdr:blipFill>
      <xdr:spPr>
        <a:xfrm>
          <a:off x="12359425" y="105277472"/>
          <a:ext cx="4098880" cy="2293574"/>
        </a:xfrm>
        <a:prstGeom prst="rect">
          <a:avLst/>
        </a:prstGeom>
      </xdr:spPr>
    </xdr:pic>
    <xdr:clientData/>
  </xdr:oneCellAnchor>
  <xdr:oneCellAnchor>
    <xdr:from>
      <xdr:col>14</xdr:col>
      <xdr:colOff>1159162</xdr:colOff>
      <xdr:row>606</xdr:row>
      <xdr:rowOff>131221</xdr:rowOff>
    </xdr:from>
    <xdr:ext cx="3569722" cy="2055816"/>
    <xdr:pic>
      <xdr:nvPicPr>
        <xdr:cNvPr id="8" name="Picture 7">
          <a:extLst>
            <a:ext uri="{FF2B5EF4-FFF2-40B4-BE49-F238E27FC236}">
              <a16:creationId xmlns:a16="http://schemas.microsoft.com/office/drawing/2014/main" id="{EF08F2AB-14A3-4C5C-ADDB-599FF6E5DBD9}"/>
            </a:ext>
          </a:extLst>
        </xdr:cNvPr>
        <xdr:cNvPicPr>
          <a:picLocks noChangeAspect="1"/>
        </xdr:cNvPicPr>
      </xdr:nvPicPr>
      <xdr:blipFill>
        <a:blip xmlns:r="http://schemas.openxmlformats.org/officeDocument/2006/relationships" r:embed="rId7"/>
        <a:stretch>
          <a:fillRect/>
        </a:stretch>
      </xdr:blipFill>
      <xdr:spPr>
        <a:xfrm>
          <a:off x="13000642" y="105584401"/>
          <a:ext cx="3569722" cy="2055816"/>
        </a:xfrm>
        <a:prstGeom prst="rect">
          <a:avLst/>
        </a:prstGeom>
      </xdr:spPr>
    </xdr:pic>
    <xdr:clientData/>
  </xdr:oneCellAnchor>
  <xdr:twoCellAnchor>
    <xdr:from>
      <xdr:col>20</xdr:col>
      <xdr:colOff>568569</xdr:colOff>
      <xdr:row>229</xdr:row>
      <xdr:rowOff>23446</xdr:rowOff>
    </xdr:from>
    <xdr:to>
      <xdr:col>28</xdr:col>
      <xdr:colOff>586153</xdr:colOff>
      <xdr:row>246</xdr:row>
      <xdr:rowOff>70339</xdr:rowOff>
    </xdr:to>
    <xdr:graphicFrame macro="">
      <xdr:nvGraphicFramePr>
        <xdr:cNvPr id="9" name="Chart 8">
          <a:extLst>
            <a:ext uri="{FF2B5EF4-FFF2-40B4-BE49-F238E27FC236}">
              <a16:creationId xmlns:a16="http://schemas.microsoft.com/office/drawing/2014/main" id="{8F448631-EED8-4318-A202-986A07221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id" refreshedDate="46238.741128935188" createdVersion="8" refreshedVersion="8" minRefreshableVersion="3" recordCount="457" xr:uid="{C65D2220-AC8A-40EE-9FC0-46423B5C9C21}">
  <cacheSource type="worksheet">
    <worksheetSource ref="B23:K480" sheet="Post-RIA"/>
  </cacheSource>
  <cacheFields count="10">
    <cacheField name="Form" numFmtId="0">
      <sharedItems count="2">
        <s v="I-526E"/>
        <s v="I-526"/>
      </sharedItems>
    </cacheField>
    <cacheField name="Filing Date" numFmtId="166">
      <sharedItems containsSemiMixedTypes="0" containsNonDate="0" containsDate="1" containsString="0" minDate="2022-03-31T00:00:00" maxDate="2026-04-01T00:00:00" count="49">
        <d v="2022-03-31T00:00:00"/>
        <d v="2022-04-30T00:00:00"/>
        <d v="2022-05-31T00:00:00"/>
        <d v="2022-06-30T00:00:00"/>
        <d v="2022-07-31T00:00:00"/>
        <d v="2022-08-31T00:00:00"/>
        <d v="2022-09-30T00:00:00"/>
        <d v="2022-10-31T00:00:00"/>
        <d v="2022-11-30T00:00:00"/>
        <d v="2022-12-31T00:00:00"/>
        <d v="2023-01-31T00:00:00"/>
        <d v="2023-02-28T00:00:00"/>
        <d v="2023-03-31T00:00:00"/>
        <d v="2023-04-30T00:00:00"/>
        <d v="2023-05-31T00:00:00"/>
        <d v="2023-06-30T00:00:00"/>
        <d v="2023-07-31T00:00:00"/>
        <d v="2023-08-31T00:00:00"/>
        <d v="2023-09-30T00:00:00"/>
        <d v="2023-10-31T00:00:00"/>
        <d v="2023-11-30T00:00:00"/>
        <d v="2023-12-31T00:00:00"/>
        <d v="2024-01-31T00:00:00"/>
        <d v="2024-02-29T00:00:00"/>
        <d v="2024-03-31T00:00:00"/>
        <d v="2024-04-30T00:00:00"/>
        <d v="2024-05-31T00:00:00"/>
        <d v="2024-06-30T00:00:00"/>
        <d v="2024-07-31T00:00:00"/>
        <d v="2024-08-31T00:00:00"/>
        <d v="2024-09-30T00:00:00"/>
        <d v="2024-10-31T00:00:00"/>
        <d v="2024-11-30T00:00:00"/>
        <d v="2024-12-31T00:00:00"/>
        <d v="2025-01-31T00:00:00"/>
        <d v="2025-02-28T00:00:00"/>
        <d v="2025-03-31T00:00:00"/>
        <d v="2025-04-30T00:00:00"/>
        <d v="2025-05-31T00:00:00"/>
        <d v="2025-06-30T00:00:00"/>
        <d v="2025-07-31T00:00:00"/>
        <d v="2025-08-31T00:00:00"/>
        <d v="2025-09-30T00:00:00"/>
        <d v="2025-10-31T00:00:00"/>
        <d v="2025-11-30T00:00:00"/>
        <d v="2025-12-31T00:00:00"/>
        <d v="2026-01-31T00:00:00"/>
        <d v="2026-02-28T00:00:00"/>
        <d v="2026-03-31T00:00:00"/>
      </sharedItems>
    </cacheField>
    <cacheField name="TEA" numFmtId="0">
      <sharedItems count="7">
        <s v="Infrastructure"/>
        <s v="High Unemployment Area"/>
        <s v="Rural Area"/>
        <s v="Rural Area and High Unemployment Area"/>
        <s v="None"/>
        <s v="Unreserved"/>
        <s v="Unknown"/>
      </sharedItems>
    </cacheField>
    <cacheField name="China" numFmtId="0">
      <sharedItems containsSemiMixedTypes="0" containsString="0" containsNumber="1" containsInteger="1" minValue="0" maxValue="413"/>
    </cacheField>
    <cacheField name="India" numFmtId="0">
      <sharedItems containsSemiMixedTypes="0" containsString="0" containsNumber="1" containsInteger="1" minValue="0" maxValue="181"/>
    </cacheField>
    <cacheField name="All ROW" numFmtId="0">
      <sharedItems containsSemiMixedTypes="0" containsString="0" containsNumber="1" containsInteger="1" minValue="0" maxValue="201"/>
    </cacheField>
    <cacheField name="South Korea" numFmtId="0">
      <sharedItems containsSemiMixedTypes="0" containsString="0" containsNumber="1" containsInteger="1" minValue="0" maxValue="77"/>
    </cacheField>
    <cacheField name="Taiwan" numFmtId="0">
      <sharedItems containsSemiMixedTypes="0" containsString="0" containsNumber="1" containsInteger="1" minValue="0" maxValue="62"/>
    </cacheField>
    <cacheField name="Vietnam" numFmtId="0">
      <sharedItems containsSemiMixedTypes="0" containsString="0" containsNumber="1" containsInteger="1" minValue="0" maxValue="30"/>
    </cacheField>
    <cacheField name="ROW except SK, T, V" numFmtId="0">
      <sharedItems containsSemiMixedTypes="0" containsString="0" containsNumber="1" containsInteger="1" minValue="0" maxValue="10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7">
  <r>
    <x v="0"/>
    <x v="0"/>
    <x v="0"/>
    <n v="0"/>
    <n v="0"/>
    <n v="0"/>
    <n v="0"/>
    <n v="0"/>
    <n v="0"/>
    <n v="0"/>
  </r>
  <r>
    <x v="1"/>
    <x v="1"/>
    <x v="1"/>
    <n v="0"/>
    <n v="0"/>
    <n v="1"/>
    <n v="0"/>
    <n v="0"/>
    <n v="0"/>
    <n v="1"/>
  </r>
  <r>
    <x v="0"/>
    <x v="1"/>
    <x v="1"/>
    <n v="0"/>
    <n v="0"/>
    <n v="0"/>
    <n v="0"/>
    <n v="0"/>
    <n v="0"/>
    <n v="0"/>
  </r>
  <r>
    <x v="1"/>
    <x v="1"/>
    <x v="2"/>
    <n v="0"/>
    <n v="1"/>
    <n v="0"/>
    <n v="0"/>
    <n v="0"/>
    <n v="0"/>
    <n v="0"/>
  </r>
  <r>
    <x v="0"/>
    <x v="1"/>
    <x v="2"/>
    <n v="0"/>
    <n v="0"/>
    <n v="0"/>
    <n v="0"/>
    <n v="0"/>
    <n v="0"/>
    <n v="0"/>
  </r>
  <r>
    <x v="1"/>
    <x v="1"/>
    <x v="3"/>
    <n v="0"/>
    <n v="0"/>
    <n v="0"/>
    <n v="0"/>
    <n v="0"/>
    <n v="0"/>
    <n v="0"/>
  </r>
  <r>
    <x v="0"/>
    <x v="1"/>
    <x v="3"/>
    <n v="0"/>
    <n v="0"/>
    <n v="0"/>
    <n v="0"/>
    <n v="0"/>
    <n v="0"/>
    <n v="0"/>
  </r>
  <r>
    <x v="1"/>
    <x v="1"/>
    <x v="4"/>
    <n v="2"/>
    <n v="2"/>
    <n v="5"/>
    <n v="0"/>
    <n v="0"/>
    <n v="0"/>
    <n v="5"/>
  </r>
  <r>
    <x v="0"/>
    <x v="1"/>
    <x v="4"/>
    <n v="0"/>
    <n v="0"/>
    <n v="0"/>
    <n v="0"/>
    <n v="0"/>
    <n v="0"/>
    <n v="0"/>
  </r>
  <r>
    <x v="0"/>
    <x v="1"/>
    <x v="0"/>
    <n v="0"/>
    <n v="0"/>
    <n v="0"/>
    <n v="0"/>
    <n v="0"/>
    <n v="0"/>
    <n v="0"/>
  </r>
  <r>
    <x v="1"/>
    <x v="2"/>
    <x v="1"/>
    <n v="2"/>
    <n v="0"/>
    <n v="0"/>
    <n v="0"/>
    <n v="0"/>
    <n v="0"/>
    <n v="0"/>
  </r>
  <r>
    <x v="0"/>
    <x v="2"/>
    <x v="1"/>
    <n v="0"/>
    <n v="0"/>
    <n v="0"/>
    <n v="0"/>
    <n v="0"/>
    <n v="0"/>
    <n v="0"/>
  </r>
  <r>
    <x v="1"/>
    <x v="2"/>
    <x v="2"/>
    <n v="0"/>
    <n v="1"/>
    <n v="0"/>
    <n v="0"/>
    <n v="0"/>
    <n v="0"/>
    <n v="0"/>
  </r>
  <r>
    <x v="0"/>
    <x v="2"/>
    <x v="2"/>
    <n v="0"/>
    <n v="0"/>
    <n v="0"/>
    <n v="0"/>
    <n v="0"/>
    <n v="0"/>
    <n v="0"/>
  </r>
  <r>
    <x v="1"/>
    <x v="2"/>
    <x v="3"/>
    <n v="0"/>
    <n v="0"/>
    <n v="0"/>
    <n v="0"/>
    <n v="0"/>
    <n v="0"/>
    <n v="0"/>
  </r>
  <r>
    <x v="0"/>
    <x v="2"/>
    <x v="3"/>
    <n v="0"/>
    <n v="0"/>
    <n v="0"/>
    <n v="0"/>
    <n v="0"/>
    <n v="0"/>
    <n v="0"/>
  </r>
  <r>
    <x v="1"/>
    <x v="2"/>
    <x v="4"/>
    <n v="9"/>
    <n v="0"/>
    <n v="0"/>
    <n v="0"/>
    <n v="0"/>
    <n v="0"/>
    <n v="0"/>
  </r>
  <r>
    <x v="0"/>
    <x v="2"/>
    <x v="4"/>
    <n v="0"/>
    <n v="0"/>
    <n v="0"/>
    <n v="0"/>
    <n v="0"/>
    <n v="0"/>
    <n v="0"/>
  </r>
  <r>
    <x v="0"/>
    <x v="2"/>
    <x v="0"/>
    <n v="0"/>
    <n v="0"/>
    <n v="0"/>
    <n v="0"/>
    <n v="0"/>
    <n v="0"/>
    <n v="0"/>
  </r>
  <r>
    <x v="1"/>
    <x v="3"/>
    <x v="1"/>
    <n v="0"/>
    <n v="3"/>
    <n v="0"/>
    <n v="0"/>
    <n v="0"/>
    <n v="0"/>
    <n v="0"/>
  </r>
  <r>
    <x v="0"/>
    <x v="3"/>
    <x v="1"/>
    <n v="0"/>
    <n v="0"/>
    <n v="0"/>
    <n v="0"/>
    <n v="0"/>
    <n v="0"/>
    <n v="0"/>
  </r>
  <r>
    <x v="1"/>
    <x v="3"/>
    <x v="2"/>
    <n v="0"/>
    <n v="0"/>
    <n v="0"/>
    <n v="0"/>
    <n v="0"/>
    <n v="0"/>
    <n v="0"/>
  </r>
  <r>
    <x v="0"/>
    <x v="3"/>
    <x v="2"/>
    <n v="0"/>
    <n v="0"/>
    <n v="0"/>
    <n v="0"/>
    <n v="0"/>
    <n v="0"/>
    <n v="0"/>
  </r>
  <r>
    <x v="1"/>
    <x v="3"/>
    <x v="3"/>
    <n v="0"/>
    <n v="0"/>
    <n v="0"/>
    <n v="0"/>
    <n v="0"/>
    <n v="0"/>
    <n v="0"/>
  </r>
  <r>
    <x v="0"/>
    <x v="3"/>
    <x v="3"/>
    <n v="0"/>
    <n v="0"/>
    <n v="0"/>
    <n v="0"/>
    <n v="0"/>
    <n v="0"/>
    <n v="0"/>
  </r>
  <r>
    <x v="1"/>
    <x v="3"/>
    <x v="4"/>
    <n v="0"/>
    <n v="1"/>
    <n v="4"/>
    <n v="0"/>
    <n v="0"/>
    <n v="0"/>
    <n v="4"/>
  </r>
  <r>
    <x v="0"/>
    <x v="3"/>
    <x v="4"/>
    <n v="0"/>
    <n v="0"/>
    <n v="0"/>
    <n v="0"/>
    <n v="0"/>
    <n v="0"/>
    <n v="0"/>
  </r>
  <r>
    <x v="0"/>
    <x v="3"/>
    <x v="0"/>
    <n v="0"/>
    <n v="0"/>
    <n v="0"/>
    <n v="0"/>
    <n v="0"/>
    <n v="0"/>
    <n v="0"/>
  </r>
  <r>
    <x v="1"/>
    <x v="4"/>
    <x v="1"/>
    <n v="0"/>
    <n v="0"/>
    <n v="0"/>
    <n v="0"/>
    <n v="0"/>
    <n v="0"/>
    <n v="0"/>
  </r>
  <r>
    <x v="0"/>
    <x v="4"/>
    <x v="1"/>
    <n v="0"/>
    <n v="0"/>
    <n v="0"/>
    <n v="0"/>
    <n v="0"/>
    <n v="0"/>
    <n v="0"/>
  </r>
  <r>
    <x v="1"/>
    <x v="4"/>
    <x v="2"/>
    <n v="0"/>
    <n v="0"/>
    <n v="0"/>
    <n v="0"/>
    <n v="0"/>
    <n v="0"/>
    <n v="0"/>
  </r>
  <r>
    <x v="0"/>
    <x v="4"/>
    <x v="2"/>
    <n v="0"/>
    <n v="1"/>
    <n v="0"/>
    <n v="0"/>
    <n v="0"/>
    <n v="0"/>
    <n v="0"/>
  </r>
  <r>
    <x v="1"/>
    <x v="4"/>
    <x v="3"/>
    <n v="0"/>
    <n v="0"/>
    <n v="0"/>
    <n v="0"/>
    <n v="0"/>
    <n v="0"/>
    <n v="0"/>
  </r>
  <r>
    <x v="0"/>
    <x v="4"/>
    <x v="3"/>
    <n v="0"/>
    <n v="0"/>
    <n v="0"/>
    <n v="0"/>
    <n v="0"/>
    <n v="0"/>
    <n v="0"/>
  </r>
  <r>
    <x v="1"/>
    <x v="4"/>
    <x v="4"/>
    <n v="3"/>
    <n v="0"/>
    <n v="4"/>
    <n v="0"/>
    <n v="0"/>
    <n v="0"/>
    <n v="4"/>
  </r>
  <r>
    <x v="0"/>
    <x v="4"/>
    <x v="4"/>
    <n v="0"/>
    <n v="0"/>
    <n v="0"/>
    <n v="0"/>
    <n v="0"/>
    <n v="0"/>
    <n v="0"/>
  </r>
  <r>
    <x v="0"/>
    <x v="4"/>
    <x v="0"/>
    <n v="0"/>
    <n v="0"/>
    <n v="0"/>
    <n v="0"/>
    <n v="0"/>
    <n v="0"/>
    <n v="0"/>
  </r>
  <r>
    <x v="1"/>
    <x v="5"/>
    <x v="1"/>
    <n v="0"/>
    <n v="0"/>
    <n v="0"/>
    <n v="0"/>
    <n v="0"/>
    <n v="0"/>
    <n v="0"/>
  </r>
  <r>
    <x v="0"/>
    <x v="5"/>
    <x v="1"/>
    <n v="28"/>
    <n v="11"/>
    <n v="12"/>
    <n v="0"/>
    <n v="6"/>
    <n v="1"/>
    <n v="5"/>
  </r>
  <r>
    <x v="1"/>
    <x v="5"/>
    <x v="2"/>
    <n v="0"/>
    <n v="1"/>
    <n v="0"/>
    <n v="0"/>
    <n v="0"/>
    <n v="0"/>
    <n v="0"/>
  </r>
  <r>
    <x v="0"/>
    <x v="5"/>
    <x v="2"/>
    <n v="0"/>
    <n v="5"/>
    <n v="8"/>
    <n v="3"/>
    <n v="5"/>
    <n v="0"/>
    <n v="0"/>
  </r>
  <r>
    <x v="1"/>
    <x v="5"/>
    <x v="3"/>
    <n v="0"/>
    <n v="0"/>
    <n v="0"/>
    <n v="0"/>
    <n v="0"/>
    <n v="0"/>
    <n v="0"/>
  </r>
  <r>
    <x v="0"/>
    <x v="5"/>
    <x v="3"/>
    <n v="0"/>
    <n v="0"/>
    <n v="0"/>
    <n v="0"/>
    <n v="0"/>
    <n v="0"/>
    <n v="0"/>
  </r>
  <r>
    <x v="1"/>
    <x v="5"/>
    <x v="4"/>
    <n v="1"/>
    <n v="1"/>
    <n v="7"/>
    <n v="0"/>
    <n v="0"/>
    <n v="0"/>
    <n v="7"/>
  </r>
  <r>
    <x v="0"/>
    <x v="5"/>
    <x v="4"/>
    <n v="0"/>
    <n v="0"/>
    <n v="0"/>
    <n v="0"/>
    <n v="0"/>
    <n v="0"/>
    <n v="0"/>
  </r>
  <r>
    <x v="0"/>
    <x v="5"/>
    <x v="0"/>
    <n v="0"/>
    <n v="0"/>
    <n v="0"/>
    <n v="0"/>
    <n v="0"/>
    <n v="0"/>
    <n v="0"/>
  </r>
  <r>
    <x v="1"/>
    <x v="6"/>
    <x v="1"/>
    <n v="0"/>
    <n v="0"/>
    <n v="0"/>
    <n v="0"/>
    <n v="0"/>
    <n v="0"/>
    <n v="0"/>
  </r>
  <r>
    <x v="0"/>
    <x v="6"/>
    <x v="1"/>
    <n v="52"/>
    <n v="36"/>
    <n v="99"/>
    <n v="27"/>
    <n v="20"/>
    <n v="18"/>
    <n v="34"/>
  </r>
  <r>
    <x v="1"/>
    <x v="6"/>
    <x v="2"/>
    <n v="0"/>
    <n v="0"/>
    <n v="1"/>
    <n v="0"/>
    <n v="0"/>
    <n v="0"/>
    <n v="1"/>
  </r>
  <r>
    <x v="0"/>
    <x v="6"/>
    <x v="2"/>
    <n v="43"/>
    <n v="11"/>
    <n v="12"/>
    <n v="2"/>
    <n v="2"/>
    <n v="3"/>
    <n v="5"/>
  </r>
  <r>
    <x v="1"/>
    <x v="6"/>
    <x v="3"/>
    <n v="0"/>
    <n v="0"/>
    <n v="0"/>
    <n v="0"/>
    <n v="0"/>
    <n v="0"/>
    <n v="0"/>
  </r>
  <r>
    <x v="0"/>
    <x v="6"/>
    <x v="3"/>
    <n v="1"/>
    <n v="0"/>
    <n v="0"/>
    <n v="0"/>
    <n v="0"/>
    <n v="0"/>
    <n v="0"/>
  </r>
  <r>
    <x v="1"/>
    <x v="6"/>
    <x v="4"/>
    <n v="3"/>
    <n v="1"/>
    <n v="5"/>
    <n v="0"/>
    <n v="0"/>
    <n v="1"/>
    <n v="4"/>
  </r>
  <r>
    <x v="0"/>
    <x v="6"/>
    <x v="4"/>
    <n v="0"/>
    <n v="0"/>
    <n v="1"/>
    <n v="0"/>
    <n v="1"/>
    <n v="0"/>
    <n v="0"/>
  </r>
  <r>
    <x v="0"/>
    <x v="6"/>
    <x v="0"/>
    <n v="0"/>
    <n v="0"/>
    <n v="0"/>
    <n v="0"/>
    <n v="0"/>
    <n v="0"/>
    <n v="0"/>
  </r>
  <r>
    <x v="1"/>
    <x v="7"/>
    <x v="1"/>
    <n v="0"/>
    <n v="1"/>
    <n v="0"/>
    <n v="0"/>
    <n v="0"/>
    <n v="0"/>
    <n v="0"/>
  </r>
  <r>
    <x v="0"/>
    <x v="7"/>
    <x v="1"/>
    <n v="13"/>
    <n v="11"/>
    <n v="38"/>
    <n v="3"/>
    <n v="3"/>
    <n v="12"/>
    <n v="20"/>
  </r>
  <r>
    <x v="1"/>
    <x v="7"/>
    <x v="2"/>
    <n v="0"/>
    <n v="1"/>
    <n v="0"/>
    <n v="0"/>
    <n v="0"/>
    <n v="0"/>
    <n v="0"/>
  </r>
  <r>
    <x v="0"/>
    <x v="7"/>
    <x v="2"/>
    <n v="18"/>
    <n v="4"/>
    <n v="10"/>
    <n v="1"/>
    <n v="1"/>
    <n v="3"/>
    <n v="5"/>
  </r>
  <r>
    <x v="1"/>
    <x v="7"/>
    <x v="3"/>
    <n v="0"/>
    <n v="0"/>
    <n v="0"/>
    <n v="0"/>
    <n v="0"/>
    <n v="0"/>
    <n v="0"/>
  </r>
  <r>
    <x v="0"/>
    <x v="7"/>
    <x v="3"/>
    <n v="0"/>
    <n v="0"/>
    <n v="1"/>
    <n v="0"/>
    <n v="0"/>
    <n v="0"/>
    <n v="1"/>
  </r>
  <r>
    <x v="1"/>
    <x v="7"/>
    <x v="4"/>
    <n v="1"/>
    <n v="3"/>
    <n v="4"/>
    <n v="0"/>
    <n v="0"/>
    <n v="1"/>
    <n v="3"/>
  </r>
  <r>
    <x v="0"/>
    <x v="7"/>
    <x v="4"/>
    <n v="0"/>
    <n v="0"/>
    <n v="0"/>
    <n v="0"/>
    <n v="0"/>
    <n v="0"/>
    <n v="0"/>
  </r>
  <r>
    <x v="0"/>
    <x v="7"/>
    <x v="0"/>
    <n v="0"/>
    <n v="0"/>
    <n v="0"/>
    <n v="0"/>
    <n v="0"/>
    <n v="0"/>
    <n v="0"/>
  </r>
  <r>
    <x v="1"/>
    <x v="8"/>
    <x v="1"/>
    <n v="0"/>
    <n v="1"/>
    <n v="0"/>
    <n v="0"/>
    <n v="0"/>
    <n v="0"/>
    <n v="0"/>
  </r>
  <r>
    <x v="0"/>
    <x v="8"/>
    <x v="1"/>
    <n v="29"/>
    <n v="17"/>
    <n v="42"/>
    <n v="3"/>
    <n v="8"/>
    <n v="7"/>
    <n v="24"/>
  </r>
  <r>
    <x v="1"/>
    <x v="8"/>
    <x v="2"/>
    <n v="2"/>
    <n v="0"/>
    <n v="1"/>
    <n v="0"/>
    <n v="0"/>
    <n v="0"/>
    <n v="1"/>
  </r>
  <r>
    <x v="0"/>
    <x v="8"/>
    <x v="2"/>
    <n v="29"/>
    <n v="2"/>
    <n v="6"/>
    <n v="0"/>
    <n v="0"/>
    <n v="0"/>
    <n v="6"/>
  </r>
  <r>
    <x v="1"/>
    <x v="8"/>
    <x v="3"/>
    <n v="0"/>
    <n v="0"/>
    <n v="0"/>
    <n v="0"/>
    <n v="0"/>
    <n v="0"/>
    <n v="0"/>
  </r>
  <r>
    <x v="0"/>
    <x v="8"/>
    <x v="3"/>
    <n v="0"/>
    <n v="0"/>
    <n v="0"/>
    <n v="0"/>
    <n v="0"/>
    <n v="0"/>
    <n v="0"/>
  </r>
  <r>
    <x v="1"/>
    <x v="8"/>
    <x v="4"/>
    <n v="2"/>
    <n v="3"/>
    <n v="8"/>
    <n v="0"/>
    <n v="1"/>
    <n v="0"/>
    <n v="7"/>
  </r>
  <r>
    <x v="0"/>
    <x v="8"/>
    <x v="4"/>
    <n v="0"/>
    <n v="0"/>
    <n v="0"/>
    <n v="0"/>
    <n v="0"/>
    <n v="0"/>
    <n v="0"/>
  </r>
  <r>
    <x v="0"/>
    <x v="8"/>
    <x v="0"/>
    <n v="0"/>
    <n v="0"/>
    <n v="0"/>
    <n v="0"/>
    <n v="0"/>
    <n v="0"/>
    <n v="0"/>
  </r>
  <r>
    <x v="1"/>
    <x v="9"/>
    <x v="1"/>
    <n v="0"/>
    <n v="1"/>
    <n v="2"/>
    <n v="0"/>
    <n v="0"/>
    <n v="0"/>
    <n v="2"/>
  </r>
  <r>
    <x v="0"/>
    <x v="9"/>
    <x v="1"/>
    <n v="50"/>
    <n v="32"/>
    <n v="76"/>
    <n v="7"/>
    <n v="23"/>
    <n v="11"/>
    <n v="35"/>
  </r>
  <r>
    <x v="1"/>
    <x v="9"/>
    <x v="2"/>
    <n v="1"/>
    <n v="1"/>
    <n v="0"/>
    <n v="0"/>
    <n v="0"/>
    <n v="0"/>
    <n v="0"/>
  </r>
  <r>
    <x v="0"/>
    <x v="9"/>
    <x v="2"/>
    <n v="27"/>
    <n v="4"/>
    <n v="4"/>
    <n v="0"/>
    <n v="0"/>
    <n v="0"/>
    <n v="4"/>
  </r>
  <r>
    <x v="1"/>
    <x v="9"/>
    <x v="3"/>
    <n v="0"/>
    <n v="0"/>
    <n v="0"/>
    <n v="0"/>
    <n v="0"/>
    <n v="0"/>
    <n v="0"/>
  </r>
  <r>
    <x v="0"/>
    <x v="9"/>
    <x v="3"/>
    <n v="0"/>
    <n v="0"/>
    <n v="0"/>
    <n v="0"/>
    <n v="0"/>
    <n v="0"/>
    <n v="0"/>
  </r>
  <r>
    <x v="1"/>
    <x v="9"/>
    <x v="4"/>
    <n v="1"/>
    <n v="3"/>
    <n v="3"/>
    <n v="0"/>
    <n v="0"/>
    <n v="0"/>
    <n v="3"/>
  </r>
  <r>
    <x v="0"/>
    <x v="9"/>
    <x v="4"/>
    <n v="1"/>
    <n v="0"/>
    <n v="0"/>
    <n v="0"/>
    <n v="0"/>
    <n v="0"/>
    <n v="0"/>
  </r>
  <r>
    <x v="0"/>
    <x v="9"/>
    <x v="0"/>
    <n v="0"/>
    <n v="0"/>
    <n v="0"/>
    <n v="0"/>
    <n v="0"/>
    <n v="0"/>
    <n v="0"/>
  </r>
  <r>
    <x v="1"/>
    <x v="10"/>
    <x v="1"/>
    <n v="0"/>
    <n v="0"/>
    <n v="0"/>
    <n v="0"/>
    <n v="0"/>
    <n v="0"/>
    <n v="0"/>
  </r>
  <r>
    <x v="0"/>
    <x v="10"/>
    <x v="1"/>
    <n v="43"/>
    <n v="11"/>
    <n v="50"/>
    <n v="4"/>
    <n v="22"/>
    <n v="6"/>
    <n v="18"/>
  </r>
  <r>
    <x v="1"/>
    <x v="10"/>
    <x v="2"/>
    <n v="2"/>
    <n v="0"/>
    <n v="0"/>
    <n v="0"/>
    <n v="0"/>
    <n v="0"/>
    <n v="0"/>
  </r>
  <r>
    <x v="0"/>
    <x v="10"/>
    <x v="2"/>
    <n v="28"/>
    <n v="3"/>
    <n v="7"/>
    <n v="0"/>
    <n v="1"/>
    <n v="0"/>
    <n v="6"/>
  </r>
  <r>
    <x v="1"/>
    <x v="10"/>
    <x v="3"/>
    <n v="0"/>
    <n v="0"/>
    <n v="0"/>
    <n v="0"/>
    <n v="0"/>
    <n v="0"/>
    <n v="0"/>
  </r>
  <r>
    <x v="0"/>
    <x v="10"/>
    <x v="3"/>
    <n v="1"/>
    <n v="0"/>
    <n v="0"/>
    <n v="0"/>
    <n v="0"/>
    <n v="0"/>
    <n v="0"/>
  </r>
  <r>
    <x v="1"/>
    <x v="10"/>
    <x v="4"/>
    <n v="3"/>
    <n v="3"/>
    <n v="10"/>
    <n v="0"/>
    <n v="0"/>
    <n v="4"/>
    <n v="6"/>
  </r>
  <r>
    <x v="0"/>
    <x v="10"/>
    <x v="4"/>
    <n v="1"/>
    <n v="0"/>
    <n v="1"/>
    <n v="0"/>
    <n v="0"/>
    <n v="0"/>
    <n v="1"/>
  </r>
  <r>
    <x v="0"/>
    <x v="10"/>
    <x v="0"/>
    <n v="0"/>
    <n v="0"/>
    <n v="0"/>
    <n v="0"/>
    <n v="0"/>
    <n v="0"/>
    <n v="0"/>
  </r>
  <r>
    <x v="1"/>
    <x v="11"/>
    <x v="1"/>
    <n v="0"/>
    <n v="0"/>
    <n v="0"/>
    <n v="0"/>
    <n v="0"/>
    <n v="0"/>
    <n v="0"/>
  </r>
  <r>
    <x v="0"/>
    <x v="11"/>
    <x v="1"/>
    <n v="50"/>
    <n v="20"/>
    <n v="57"/>
    <n v="4"/>
    <n v="13"/>
    <n v="3"/>
    <n v="37"/>
  </r>
  <r>
    <x v="1"/>
    <x v="11"/>
    <x v="2"/>
    <n v="1"/>
    <n v="2"/>
    <n v="1"/>
    <n v="0"/>
    <n v="0"/>
    <n v="0"/>
    <n v="1"/>
  </r>
  <r>
    <x v="0"/>
    <x v="11"/>
    <x v="2"/>
    <n v="14"/>
    <n v="1"/>
    <n v="5"/>
    <n v="0"/>
    <n v="1"/>
    <n v="1"/>
    <n v="3"/>
  </r>
  <r>
    <x v="1"/>
    <x v="11"/>
    <x v="3"/>
    <n v="0"/>
    <n v="0"/>
    <n v="0"/>
    <n v="0"/>
    <n v="0"/>
    <n v="0"/>
    <n v="0"/>
  </r>
  <r>
    <x v="0"/>
    <x v="11"/>
    <x v="3"/>
    <n v="0"/>
    <n v="0"/>
    <n v="0"/>
    <n v="0"/>
    <n v="0"/>
    <n v="0"/>
    <n v="0"/>
  </r>
  <r>
    <x v="1"/>
    <x v="11"/>
    <x v="4"/>
    <n v="4"/>
    <n v="1"/>
    <n v="2"/>
    <n v="0"/>
    <n v="0"/>
    <n v="0"/>
    <n v="2"/>
  </r>
  <r>
    <x v="0"/>
    <x v="11"/>
    <x v="4"/>
    <n v="0"/>
    <n v="1"/>
    <n v="2"/>
    <n v="0"/>
    <n v="1"/>
    <n v="0"/>
    <n v="1"/>
  </r>
  <r>
    <x v="0"/>
    <x v="11"/>
    <x v="0"/>
    <n v="0"/>
    <n v="0"/>
    <n v="0"/>
    <n v="0"/>
    <n v="0"/>
    <n v="0"/>
    <n v="0"/>
  </r>
  <r>
    <x v="1"/>
    <x v="12"/>
    <x v="1"/>
    <n v="0"/>
    <n v="1"/>
    <n v="0"/>
    <n v="0"/>
    <n v="0"/>
    <n v="0"/>
    <n v="0"/>
  </r>
  <r>
    <x v="0"/>
    <x v="12"/>
    <x v="1"/>
    <n v="76"/>
    <n v="15"/>
    <n v="55"/>
    <n v="5"/>
    <n v="9"/>
    <n v="5"/>
    <n v="36"/>
  </r>
  <r>
    <x v="1"/>
    <x v="12"/>
    <x v="2"/>
    <n v="3"/>
    <n v="1"/>
    <n v="0"/>
    <n v="0"/>
    <n v="0"/>
    <n v="0"/>
    <n v="0"/>
  </r>
  <r>
    <x v="0"/>
    <x v="12"/>
    <x v="2"/>
    <n v="35"/>
    <n v="10"/>
    <n v="2"/>
    <n v="0"/>
    <n v="0"/>
    <n v="0"/>
    <n v="2"/>
  </r>
  <r>
    <x v="1"/>
    <x v="12"/>
    <x v="3"/>
    <n v="0"/>
    <n v="0"/>
    <n v="0"/>
    <n v="0"/>
    <n v="0"/>
    <n v="0"/>
    <n v="0"/>
  </r>
  <r>
    <x v="0"/>
    <x v="12"/>
    <x v="3"/>
    <n v="0"/>
    <n v="0"/>
    <n v="0"/>
    <n v="0"/>
    <n v="0"/>
    <n v="0"/>
    <n v="0"/>
  </r>
  <r>
    <x v="1"/>
    <x v="12"/>
    <x v="4"/>
    <n v="2"/>
    <n v="1"/>
    <n v="3"/>
    <n v="0"/>
    <n v="0"/>
    <n v="0"/>
    <n v="3"/>
  </r>
  <r>
    <x v="0"/>
    <x v="12"/>
    <x v="4"/>
    <n v="2"/>
    <n v="0"/>
    <n v="5"/>
    <n v="0"/>
    <n v="3"/>
    <n v="0"/>
    <n v="2"/>
  </r>
  <r>
    <x v="0"/>
    <x v="12"/>
    <x v="0"/>
    <n v="0"/>
    <n v="0"/>
    <n v="0"/>
    <n v="0"/>
    <n v="0"/>
    <n v="0"/>
    <n v="0"/>
  </r>
  <r>
    <x v="1"/>
    <x v="13"/>
    <x v="1"/>
    <n v="1"/>
    <n v="3"/>
    <n v="1"/>
    <n v="0"/>
    <n v="0"/>
    <n v="0"/>
    <n v="1"/>
  </r>
  <r>
    <x v="0"/>
    <x v="13"/>
    <x v="1"/>
    <n v="73"/>
    <n v="12"/>
    <n v="35"/>
    <n v="5"/>
    <n v="5"/>
    <n v="3"/>
    <n v="22"/>
  </r>
  <r>
    <x v="1"/>
    <x v="13"/>
    <x v="2"/>
    <n v="2"/>
    <n v="0"/>
    <n v="1"/>
    <n v="0"/>
    <n v="0"/>
    <n v="0"/>
    <n v="1"/>
  </r>
  <r>
    <x v="0"/>
    <x v="13"/>
    <x v="2"/>
    <n v="47"/>
    <n v="8"/>
    <n v="8"/>
    <n v="0"/>
    <n v="1"/>
    <n v="0"/>
    <n v="7"/>
  </r>
  <r>
    <x v="1"/>
    <x v="13"/>
    <x v="3"/>
    <n v="0"/>
    <n v="0"/>
    <n v="1"/>
    <n v="0"/>
    <n v="0"/>
    <n v="0"/>
    <n v="1"/>
  </r>
  <r>
    <x v="0"/>
    <x v="13"/>
    <x v="3"/>
    <n v="0"/>
    <n v="0"/>
    <n v="0"/>
    <n v="0"/>
    <n v="0"/>
    <n v="0"/>
    <n v="0"/>
  </r>
  <r>
    <x v="1"/>
    <x v="13"/>
    <x v="4"/>
    <n v="1"/>
    <n v="1"/>
    <n v="6"/>
    <n v="0"/>
    <n v="0"/>
    <n v="0"/>
    <n v="6"/>
  </r>
  <r>
    <x v="0"/>
    <x v="13"/>
    <x v="4"/>
    <n v="1"/>
    <n v="0"/>
    <n v="2"/>
    <n v="0"/>
    <n v="0"/>
    <n v="0"/>
    <n v="2"/>
  </r>
  <r>
    <x v="0"/>
    <x v="13"/>
    <x v="0"/>
    <n v="0"/>
    <n v="0"/>
    <n v="0"/>
    <n v="0"/>
    <n v="0"/>
    <n v="0"/>
    <n v="0"/>
  </r>
  <r>
    <x v="1"/>
    <x v="14"/>
    <x v="1"/>
    <n v="2"/>
    <n v="2"/>
    <n v="2"/>
    <n v="0"/>
    <n v="0"/>
    <n v="0"/>
    <n v="2"/>
  </r>
  <r>
    <x v="0"/>
    <x v="14"/>
    <x v="1"/>
    <n v="64"/>
    <n v="25"/>
    <n v="41"/>
    <n v="4"/>
    <n v="6"/>
    <n v="4"/>
    <n v="27"/>
  </r>
  <r>
    <x v="1"/>
    <x v="14"/>
    <x v="2"/>
    <n v="3"/>
    <n v="1"/>
    <n v="0"/>
    <n v="0"/>
    <n v="0"/>
    <n v="0"/>
    <n v="0"/>
  </r>
  <r>
    <x v="0"/>
    <x v="14"/>
    <x v="2"/>
    <n v="46"/>
    <n v="9"/>
    <n v="11"/>
    <n v="0"/>
    <n v="1"/>
    <n v="0"/>
    <n v="10"/>
  </r>
  <r>
    <x v="1"/>
    <x v="14"/>
    <x v="3"/>
    <n v="0"/>
    <n v="0"/>
    <n v="0"/>
    <n v="0"/>
    <n v="0"/>
    <n v="0"/>
    <n v="0"/>
  </r>
  <r>
    <x v="0"/>
    <x v="14"/>
    <x v="3"/>
    <n v="1"/>
    <n v="0"/>
    <n v="0"/>
    <n v="0"/>
    <n v="0"/>
    <n v="0"/>
    <n v="0"/>
  </r>
  <r>
    <x v="1"/>
    <x v="14"/>
    <x v="4"/>
    <n v="0"/>
    <n v="1"/>
    <n v="2"/>
    <n v="0"/>
    <n v="0"/>
    <n v="0"/>
    <n v="2"/>
  </r>
  <r>
    <x v="0"/>
    <x v="14"/>
    <x v="4"/>
    <n v="1"/>
    <n v="0"/>
    <n v="0"/>
    <n v="0"/>
    <n v="0"/>
    <n v="0"/>
    <n v="0"/>
  </r>
  <r>
    <x v="0"/>
    <x v="14"/>
    <x v="0"/>
    <n v="0"/>
    <n v="0"/>
    <n v="0"/>
    <n v="0"/>
    <n v="0"/>
    <n v="0"/>
    <n v="0"/>
  </r>
  <r>
    <x v="1"/>
    <x v="15"/>
    <x v="1"/>
    <n v="1"/>
    <n v="5"/>
    <n v="3"/>
    <n v="0"/>
    <n v="1"/>
    <n v="0"/>
    <n v="2"/>
  </r>
  <r>
    <x v="0"/>
    <x v="15"/>
    <x v="1"/>
    <n v="98"/>
    <n v="27"/>
    <n v="40"/>
    <n v="4"/>
    <n v="18"/>
    <n v="4"/>
    <n v="14"/>
  </r>
  <r>
    <x v="1"/>
    <x v="15"/>
    <x v="2"/>
    <n v="2"/>
    <n v="1"/>
    <n v="1"/>
    <n v="0"/>
    <n v="0"/>
    <n v="0"/>
    <n v="1"/>
  </r>
  <r>
    <x v="0"/>
    <x v="15"/>
    <x v="2"/>
    <n v="61"/>
    <n v="15"/>
    <n v="7"/>
    <n v="0"/>
    <n v="0"/>
    <n v="0"/>
    <n v="7"/>
  </r>
  <r>
    <x v="1"/>
    <x v="15"/>
    <x v="3"/>
    <n v="0"/>
    <n v="0"/>
    <n v="0"/>
    <n v="0"/>
    <n v="0"/>
    <n v="0"/>
    <n v="0"/>
  </r>
  <r>
    <x v="0"/>
    <x v="15"/>
    <x v="3"/>
    <n v="1"/>
    <n v="0"/>
    <n v="0"/>
    <n v="0"/>
    <n v="0"/>
    <n v="0"/>
    <n v="0"/>
  </r>
  <r>
    <x v="1"/>
    <x v="15"/>
    <x v="4"/>
    <n v="0"/>
    <n v="2"/>
    <n v="4"/>
    <n v="0"/>
    <n v="0"/>
    <n v="0"/>
    <n v="4"/>
  </r>
  <r>
    <x v="0"/>
    <x v="15"/>
    <x v="4"/>
    <n v="1"/>
    <n v="0"/>
    <n v="1"/>
    <n v="0"/>
    <n v="0"/>
    <n v="0"/>
    <n v="1"/>
  </r>
  <r>
    <x v="0"/>
    <x v="15"/>
    <x v="0"/>
    <n v="0"/>
    <n v="0"/>
    <n v="0"/>
    <n v="0"/>
    <n v="0"/>
    <n v="0"/>
    <n v="0"/>
  </r>
  <r>
    <x v="1"/>
    <x v="16"/>
    <x v="1"/>
    <n v="0"/>
    <n v="1"/>
    <n v="2"/>
    <n v="0"/>
    <n v="0"/>
    <n v="0"/>
    <n v="2"/>
  </r>
  <r>
    <x v="0"/>
    <x v="16"/>
    <x v="1"/>
    <n v="89"/>
    <n v="31"/>
    <n v="54"/>
    <n v="5"/>
    <n v="24"/>
    <n v="3"/>
    <n v="22"/>
  </r>
  <r>
    <x v="1"/>
    <x v="16"/>
    <x v="2"/>
    <n v="1"/>
    <n v="1"/>
    <n v="1"/>
    <n v="0"/>
    <n v="0"/>
    <n v="0"/>
    <n v="1"/>
  </r>
  <r>
    <x v="0"/>
    <x v="16"/>
    <x v="2"/>
    <n v="58"/>
    <n v="15"/>
    <n v="2"/>
    <n v="0"/>
    <n v="0"/>
    <n v="0"/>
    <n v="2"/>
  </r>
  <r>
    <x v="1"/>
    <x v="16"/>
    <x v="3"/>
    <n v="0"/>
    <n v="2"/>
    <n v="0"/>
    <n v="0"/>
    <n v="0"/>
    <n v="0"/>
    <n v="0"/>
  </r>
  <r>
    <x v="0"/>
    <x v="16"/>
    <x v="3"/>
    <n v="0"/>
    <n v="0"/>
    <n v="0"/>
    <n v="0"/>
    <n v="0"/>
    <n v="0"/>
    <n v="0"/>
  </r>
  <r>
    <x v="1"/>
    <x v="16"/>
    <x v="4"/>
    <n v="0"/>
    <n v="0"/>
    <n v="5"/>
    <n v="0"/>
    <n v="0"/>
    <n v="0"/>
    <n v="5"/>
  </r>
  <r>
    <x v="0"/>
    <x v="16"/>
    <x v="4"/>
    <n v="0"/>
    <n v="0"/>
    <n v="4"/>
    <n v="1"/>
    <n v="0"/>
    <n v="0"/>
    <n v="3"/>
  </r>
  <r>
    <x v="0"/>
    <x v="16"/>
    <x v="0"/>
    <n v="0"/>
    <n v="0"/>
    <n v="0"/>
    <n v="0"/>
    <n v="0"/>
    <n v="0"/>
    <n v="0"/>
  </r>
  <r>
    <x v="1"/>
    <x v="17"/>
    <x v="1"/>
    <n v="4"/>
    <n v="3"/>
    <n v="1"/>
    <n v="0"/>
    <n v="0"/>
    <n v="1"/>
    <n v="0"/>
  </r>
  <r>
    <x v="0"/>
    <x v="17"/>
    <x v="1"/>
    <n v="110"/>
    <n v="28"/>
    <n v="46"/>
    <n v="4"/>
    <n v="14"/>
    <n v="3"/>
    <n v="25"/>
  </r>
  <r>
    <x v="1"/>
    <x v="17"/>
    <x v="2"/>
    <n v="7"/>
    <n v="0"/>
    <n v="0"/>
    <n v="0"/>
    <n v="0"/>
    <n v="0"/>
    <n v="0"/>
  </r>
  <r>
    <x v="0"/>
    <x v="17"/>
    <x v="2"/>
    <n v="92"/>
    <n v="19"/>
    <n v="16"/>
    <n v="1"/>
    <n v="3"/>
    <n v="3"/>
    <n v="9"/>
  </r>
  <r>
    <x v="1"/>
    <x v="17"/>
    <x v="3"/>
    <n v="0"/>
    <n v="0"/>
    <n v="0"/>
    <n v="0"/>
    <n v="0"/>
    <n v="0"/>
    <n v="0"/>
  </r>
  <r>
    <x v="0"/>
    <x v="17"/>
    <x v="3"/>
    <n v="1"/>
    <n v="0"/>
    <n v="0"/>
    <n v="0"/>
    <n v="0"/>
    <n v="0"/>
    <n v="0"/>
  </r>
  <r>
    <x v="1"/>
    <x v="17"/>
    <x v="4"/>
    <n v="1"/>
    <n v="0"/>
    <n v="1"/>
    <n v="0"/>
    <n v="0"/>
    <n v="1"/>
    <n v="0"/>
  </r>
  <r>
    <x v="0"/>
    <x v="17"/>
    <x v="4"/>
    <n v="0"/>
    <n v="0"/>
    <n v="0"/>
    <n v="0"/>
    <n v="0"/>
    <n v="0"/>
    <n v="0"/>
  </r>
  <r>
    <x v="0"/>
    <x v="17"/>
    <x v="0"/>
    <n v="0"/>
    <n v="0"/>
    <n v="0"/>
    <n v="0"/>
    <n v="0"/>
    <n v="0"/>
    <n v="0"/>
  </r>
  <r>
    <x v="1"/>
    <x v="18"/>
    <x v="1"/>
    <n v="2"/>
    <n v="9"/>
    <n v="4"/>
    <n v="0"/>
    <n v="0"/>
    <n v="1"/>
    <n v="3"/>
  </r>
  <r>
    <x v="0"/>
    <x v="18"/>
    <x v="1"/>
    <n v="89"/>
    <n v="29"/>
    <n v="42"/>
    <n v="3"/>
    <n v="16"/>
    <n v="4"/>
    <n v="19"/>
  </r>
  <r>
    <x v="1"/>
    <x v="18"/>
    <x v="2"/>
    <n v="1"/>
    <n v="1"/>
    <n v="1"/>
    <n v="0"/>
    <n v="0"/>
    <n v="0"/>
    <n v="1"/>
  </r>
  <r>
    <x v="0"/>
    <x v="18"/>
    <x v="2"/>
    <n v="118"/>
    <n v="25"/>
    <n v="16"/>
    <n v="0"/>
    <n v="2"/>
    <n v="1"/>
    <n v="13"/>
  </r>
  <r>
    <x v="1"/>
    <x v="18"/>
    <x v="3"/>
    <n v="0"/>
    <n v="1"/>
    <n v="0"/>
    <n v="0"/>
    <n v="0"/>
    <n v="0"/>
    <n v="0"/>
  </r>
  <r>
    <x v="0"/>
    <x v="18"/>
    <x v="3"/>
    <n v="1"/>
    <n v="0"/>
    <n v="1"/>
    <n v="0"/>
    <n v="0"/>
    <n v="0"/>
    <n v="1"/>
  </r>
  <r>
    <x v="1"/>
    <x v="18"/>
    <x v="4"/>
    <n v="0"/>
    <n v="1"/>
    <n v="7"/>
    <n v="0"/>
    <n v="0"/>
    <n v="0"/>
    <n v="7"/>
  </r>
  <r>
    <x v="0"/>
    <x v="18"/>
    <x v="4"/>
    <n v="0"/>
    <n v="1"/>
    <n v="1"/>
    <n v="0"/>
    <n v="0"/>
    <n v="0"/>
    <n v="1"/>
  </r>
  <r>
    <x v="0"/>
    <x v="18"/>
    <x v="0"/>
    <n v="0"/>
    <n v="0"/>
    <n v="0"/>
    <n v="0"/>
    <n v="0"/>
    <n v="0"/>
    <n v="0"/>
  </r>
  <r>
    <x v="1"/>
    <x v="19"/>
    <x v="1"/>
    <n v="4"/>
    <n v="4"/>
    <n v="1"/>
    <n v="0"/>
    <n v="0"/>
    <n v="1"/>
    <n v="0"/>
  </r>
  <r>
    <x v="0"/>
    <x v="19"/>
    <x v="1"/>
    <n v="82"/>
    <n v="30"/>
    <n v="55"/>
    <n v="7"/>
    <n v="15"/>
    <n v="10"/>
    <n v="23"/>
  </r>
  <r>
    <x v="1"/>
    <x v="19"/>
    <x v="2"/>
    <n v="0"/>
    <n v="4"/>
    <n v="0"/>
    <n v="0"/>
    <n v="0"/>
    <n v="0"/>
    <n v="0"/>
  </r>
  <r>
    <x v="0"/>
    <x v="19"/>
    <x v="2"/>
    <n v="96"/>
    <n v="17"/>
    <n v="21"/>
    <n v="0"/>
    <n v="1"/>
    <n v="0"/>
    <n v="20"/>
  </r>
  <r>
    <x v="1"/>
    <x v="19"/>
    <x v="3"/>
    <n v="0"/>
    <n v="0"/>
    <n v="0"/>
    <n v="0"/>
    <n v="0"/>
    <n v="0"/>
    <n v="0"/>
  </r>
  <r>
    <x v="0"/>
    <x v="19"/>
    <x v="3"/>
    <n v="1"/>
    <n v="0"/>
    <n v="2"/>
    <n v="0"/>
    <n v="0"/>
    <n v="0"/>
    <n v="2"/>
  </r>
  <r>
    <x v="1"/>
    <x v="19"/>
    <x v="4"/>
    <n v="1"/>
    <n v="1"/>
    <n v="3"/>
    <n v="0"/>
    <n v="0"/>
    <n v="0"/>
    <n v="3"/>
  </r>
  <r>
    <x v="0"/>
    <x v="19"/>
    <x v="4"/>
    <n v="0"/>
    <n v="0"/>
    <n v="0"/>
    <n v="0"/>
    <n v="0"/>
    <n v="0"/>
    <n v="0"/>
  </r>
  <r>
    <x v="0"/>
    <x v="19"/>
    <x v="0"/>
    <n v="0"/>
    <n v="0"/>
    <n v="0"/>
    <n v="0"/>
    <n v="0"/>
    <n v="0"/>
    <n v="0"/>
  </r>
  <r>
    <x v="1"/>
    <x v="20"/>
    <x v="1"/>
    <n v="5"/>
    <n v="3"/>
    <n v="3"/>
    <n v="0"/>
    <n v="1"/>
    <n v="0"/>
    <n v="2"/>
  </r>
  <r>
    <x v="0"/>
    <x v="20"/>
    <x v="1"/>
    <n v="76"/>
    <n v="26"/>
    <n v="31"/>
    <n v="5"/>
    <n v="12"/>
    <n v="2"/>
    <n v="12"/>
  </r>
  <r>
    <x v="1"/>
    <x v="20"/>
    <x v="2"/>
    <n v="0"/>
    <n v="0"/>
    <n v="0"/>
    <n v="0"/>
    <n v="0"/>
    <n v="0"/>
    <n v="0"/>
  </r>
  <r>
    <x v="0"/>
    <x v="20"/>
    <x v="2"/>
    <n v="71"/>
    <n v="28"/>
    <n v="13"/>
    <n v="0"/>
    <n v="0"/>
    <n v="4"/>
    <n v="9"/>
  </r>
  <r>
    <x v="1"/>
    <x v="20"/>
    <x v="3"/>
    <n v="0"/>
    <n v="1"/>
    <n v="0"/>
    <n v="0"/>
    <n v="0"/>
    <n v="0"/>
    <n v="0"/>
  </r>
  <r>
    <x v="0"/>
    <x v="20"/>
    <x v="3"/>
    <n v="0"/>
    <n v="0"/>
    <n v="0"/>
    <n v="0"/>
    <n v="0"/>
    <n v="0"/>
    <n v="0"/>
  </r>
  <r>
    <x v="1"/>
    <x v="20"/>
    <x v="4"/>
    <n v="0"/>
    <n v="1"/>
    <n v="0"/>
    <n v="0"/>
    <n v="0"/>
    <n v="0"/>
    <n v="0"/>
  </r>
  <r>
    <x v="0"/>
    <x v="20"/>
    <x v="4"/>
    <n v="0"/>
    <n v="0"/>
    <n v="2"/>
    <n v="0"/>
    <n v="0"/>
    <n v="0"/>
    <n v="2"/>
  </r>
  <r>
    <x v="0"/>
    <x v="20"/>
    <x v="0"/>
    <n v="0"/>
    <n v="0"/>
    <n v="0"/>
    <n v="0"/>
    <n v="0"/>
    <n v="0"/>
    <n v="0"/>
  </r>
  <r>
    <x v="1"/>
    <x v="21"/>
    <x v="1"/>
    <n v="6"/>
    <n v="8"/>
    <n v="1"/>
    <n v="0"/>
    <n v="0"/>
    <n v="0"/>
    <n v="1"/>
  </r>
  <r>
    <x v="0"/>
    <x v="21"/>
    <x v="1"/>
    <n v="110"/>
    <n v="35"/>
    <n v="51"/>
    <n v="6"/>
    <n v="17"/>
    <n v="3"/>
    <n v="25"/>
  </r>
  <r>
    <x v="1"/>
    <x v="21"/>
    <x v="2"/>
    <n v="3"/>
    <n v="1"/>
    <n v="0"/>
    <n v="0"/>
    <n v="0"/>
    <n v="0"/>
    <n v="0"/>
  </r>
  <r>
    <x v="0"/>
    <x v="21"/>
    <x v="2"/>
    <n v="119"/>
    <n v="28"/>
    <n v="21"/>
    <n v="1"/>
    <n v="2"/>
    <n v="3"/>
    <n v="15"/>
  </r>
  <r>
    <x v="1"/>
    <x v="21"/>
    <x v="3"/>
    <n v="0"/>
    <n v="0"/>
    <n v="0"/>
    <n v="0"/>
    <n v="0"/>
    <n v="0"/>
    <n v="0"/>
  </r>
  <r>
    <x v="0"/>
    <x v="21"/>
    <x v="3"/>
    <n v="1"/>
    <n v="0"/>
    <n v="0"/>
    <n v="0"/>
    <n v="0"/>
    <n v="0"/>
    <n v="0"/>
  </r>
  <r>
    <x v="1"/>
    <x v="21"/>
    <x v="4"/>
    <n v="0"/>
    <n v="0"/>
    <n v="4"/>
    <n v="0"/>
    <n v="0"/>
    <n v="0"/>
    <n v="4"/>
  </r>
  <r>
    <x v="0"/>
    <x v="21"/>
    <x v="4"/>
    <n v="1"/>
    <n v="0"/>
    <n v="2"/>
    <n v="0"/>
    <n v="0"/>
    <n v="0"/>
    <n v="2"/>
  </r>
  <r>
    <x v="0"/>
    <x v="21"/>
    <x v="0"/>
    <n v="0"/>
    <n v="0"/>
    <n v="0"/>
    <n v="0"/>
    <n v="0"/>
    <n v="0"/>
    <n v="0"/>
  </r>
  <r>
    <x v="1"/>
    <x v="22"/>
    <x v="1"/>
    <n v="4"/>
    <n v="5"/>
    <n v="2"/>
    <n v="0"/>
    <n v="0"/>
    <n v="0"/>
    <n v="2"/>
  </r>
  <r>
    <x v="0"/>
    <x v="22"/>
    <x v="1"/>
    <n v="95"/>
    <n v="18"/>
    <n v="51"/>
    <n v="4"/>
    <n v="22"/>
    <n v="3"/>
    <n v="22"/>
  </r>
  <r>
    <x v="1"/>
    <x v="22"/>
    <x v="2"/>
    <n v="4"/>
    <n v="1"/>
    <n v="0"/>
    <n v="0"/>
    <n v="0"/>
    <n v="0"/>
    <n v="0"/>
  </r>
  <r>
    <x v="0"/>
    <x v="22"/>
    <x v="2"/>
    <n v="103"/>
    <n v="21"/>
    <n v="21"/>
    <n v="0"/>
    <n v="1"/>
    <n v="5"/>
    <n v="15"/>
  </r>
  <r>
    <x v="1"/>
    <x v="22"/>
    <x v="3"/>
    <n v="0"/>
    <n v="0"/>
    <n v="0"/>
    <n v="0"/>
    <n v="0"/>
    <n v="0"/>
    <n v="0"/>
  </r>
  <r>
    <x v="0"/>
    <x v="22"/>
    <x v="3"/>
    <n v="0"/>
    <n v="0"/>
    <n v="0"/>
    <n v="0"/>
    <n v="0"/>
    <n v="0"/>
    <n v="0"/>
  </r>
  <r>
    <x v="1"/>
    <x v="22"/>
    <x v="4"/>
    <n v="0"/>
    <n v="1"/>
    <n v="2"/>
    <n v="1"/>
    <n v="0"/>
    <n v="0"/>
    <n v="1"/>
  </r>
  <r>
    <x v="0"/>
    <x v="22"/>
    <x v="4"/>
    <n v="3"/>
    <n v="0"/>
    <n v="2"/>
    <n v="0"/>
    <n v="1"/>
    <n v="0"/>
    <n v="1"/>
  </r>
  <r>
    <x v="0"/>
    <x v="22"/>
    <x v="0"/>
    <n v="0"/>
    <n v="0"/>
    <n v="0"/>
    <n v="0"/>
    <n v="0"/>
    <n v="0"/>
    <n v="0"/>
  </r>
  <r>
    <x v="1"/>
    <x v="23"/>
    <x v="1"/>
    <n v="7"/>
    <n v="4"/>
    <n v="0"/>
    <n v="0"/>
    <n v="0"/>
    <n v="0"/>
    <n v="0"/>
  </r>
  <r>
    <x v="0"/>
    <x v="23"/>
    <x v="1"/>
    <n v="100"/>
    <n v="35"/>
    <n v="45"/>
    <n v="6"/>
    <n v="11"/>
    <n v="7"/>
    <n v="21"/>
  </r>
  <r>
    <x v="1"/>
    <x v="23"/>
    <x v="2"/>
    <n v="8"/>
    <n v="1"/>
    <n v="0"/>
    <n v="0"/>
    <n v="0"/>
    <n v="0"/>
    <n v="0"/>
  </r>
  <r>
    <x v="0"/>
    <x v="23"/>
    <x v="2"/>
    <n v="135"/>
    <n v="38"/>
    <n v="22"/>
    <n v="0"/>
    <n v="0"/>
    <n v="11"/>
    <n v="11"/>
  </r>
  <r>
    <x v="1"/>
    <x v="23"/>
    <x v="3"/>
    <n v="0"/>
    <n v="1"/>
    <n v="0"/>
    <n v="0"/>
    <n v="0"/>
    <n v="0"/>
    <n v="0"/>
  </r>
  <r>
    <x v="0"/>
    <x v="23"/>
    <x v="3"/>
    <n v="0"/>
    <n v="0"/>
    <n v="0"/>
    <n v="0"/>
    <n v="0"/>
    <n v="0"/>
    <n v="0"/>
  </r>
  <r>
    <x v="1"/>
    <x v="23"/>
    <x v="4"/>
    <n v="0"/>
    <n v="0"/>
    <n v="6"/>
    <n v="0"/>
    <n v="0"/>
    <n v="0"/>
    <n v="6"/>
  </r>
  <r>
    <x v="0"/>
    <x v="23"/>
    <x v="4"/>
    <n v="6"/>
    <n v="1"/>
    <n v="1"/>
    <n v="0"/>
    <n v="0"/>
    <n v="1"/>
    <n v="0"/>
  </r>
  <r>
    <x v="0"/>
    <x v="23"/>
    <x v="0"/>
    <n v="0"/>
    <n v="0"/>
    <n v="0"/>
    <n v="0"/>
    <n v="0"/>
    <n v="0"/>
    <n v="0"/>
  </r>
  <r>
    <x v="1"/>
    <x v="24"/>
    <x v="1"/>
    <n v="11"/>
    <n v="17"/>
    <n v="8"/>
    <n v="0"/>
    <n v="0"/>
    <n v="1"/>
    <n v="7"/>
  </r>
  <r>
    <x v="0"/>
    <x v="24"/>
    <x v="1"/>
    <n v="286"/>
    <n v="113"/>
    <n v="201"/>
    <n v="23"/>
    <n v="62"/>
    <n v="30"/>
    <n v="86"/>
  </r>
  <r>
    <x v="1"/>
    <x v="24"/>
    <x v="2"/>
    <n v="19"/>
    <n v="5"/>
    <n v="1"/>
    <n v="0"/>
    <n v="0"/>
    <n v="0"/>
    <n v="1"/>
  </r>
  <r>
    <x v="0"/>
    <x v="24"/>
    <x v="2"/>
    <n v="413"/>
    <n v="117"/>
    <n v="62"/>
    <n v="2"/>
    <n v="5"/>
    <n v="8"/>
    <n v="47"/>
  </r>
  <r>
    <x v="1"/>
    <x v="24"/>
    <x v="3"/>
    <n v="0"/>
    <n v="1"/>
    <n v="0"/>
    <n v="0"/>
    <n v="0"/>
    <n v="0"/>
    <n v="0"/>
  </r>
  <r>
    <x v="0"/>
    <x v="24"/>
    <x v="3"/>
    <n v="1"/>
    <n v="1"/>
    <n v="1"/>
    <n v="0"/>
    <n v="0"/>
    <n v="1"/>
    <n v="0"/>
  </r>
  <r>
    <x v="1"/>
    <x v="24"/>
    <x v="4"/>
    <n v="2"/>
    <n v="7"/>
    <n v="7"/>
    <n v="0"/>
    <n v="0"/>
    <n v="1"/>
    <n v="6"/>
  </r>
  <r>
    <x v="0"/>
    <x v="24"/>
    <x v="4"/>
    <n v="18"/>
    <n v="6"/>
    <n v="10"/>
    <n v="0"/>
    <n v="1"/>
    <n v="0"/>
    <n v="9"/>
  </r>
  <r>
    <x v="0"/>
    <x v="24"/>
    <x v="0"/>
    <n v="0"/>
    <n v="0"/>
    <n v="0"/>
    <n v="0"/>
    <n v="0"/>
    <n v="0"/>
    <n v="0"/>
  </r>
  <r>
    <x v="1"/>
    <x v="25"/>
    <x v="1"/>
    <n v="6"/>
    <n v="3"/>
    <n v="10"/>
    <n v="0"/>
    <n v="0"/>
    <n v="0"/>
    <n v="10"/>
  </r>
  <r>
    <x v="0"/>
    <x v="25"/>
    <x v="1"/>
    <n v="45"/>
    <n v="13"/>
    <n v="54"/>
    <n v="3"/>
    <n v="2"/>
    <n v="2"/>
    <n v="47"/>
  </r>
  <r>
    <x v="1"/>
    <x v="25"/>
    <x v="2"/>
    <n v="0"/>
    <n v="1"/>
    <n v="3"/>
    <n v="0"/>
    <n v="0"/>
    <n v="0"/>
    <n v="3"/>
  </r>
  <r>
    <x v="0"/>
    <x v="25"/>
    <x v="2"/>
    <n v="20"/>
    <n v="26"/>
    <n v="29"/>
    <n v="0"/>
    <n v="0"/>
    <n v="0"/>
    <n v="29"/>
  </r>
  <r>
    <x v="1"/>
    <x v="25"/>
    <x v="3"/>
    <n v="0"/>
    <n v="0"/>
    <n v="0"/>
    <n v="0"/>
    <n v="0"/>
    <n v="0"/>
    <n v="0"/>
  </r>
  <r>
    <x v="0"/>
    <x v="25"/>
    <x v="3"/>
    <n v="0"/>
    <n v="0"/>
    <n v="0"/>
    <n v="0"/>
    <n v="0"/>
    <n v="0"/>
    <n v="0"/>
  </r>
  <r>
    <x v="1"/>
    <x v="25"/>
    <x v="4"/>
    <n v="1"/>
    <n v="0"/>
    <n v="8"/>
    <n v="0"/>
    <n v="0"/>
    <n v="0"/>
    <n v="8"/>
  </r>
  <r>
    <x v="0"/>
    <x v="25"/>
    <x v="4"/>
    <n v="0"/>
    <n v="0"/>
    <n v="2"/>
    <n v="0"/>
    <n v="0"/>
    <n v="1"/>
    <n v="1"/>
  </r>
  <r>
    <x v="0"/>
    <x v="25"/>
    <x v="0"/>
    <n v="0"/>
    <n v="0"/>
    <n v="0"/>
    <n v="0"/>
    <n v="0"/>
    <n v="0"/>
    <n v="0"/>
  </r>
  <r>
    <x v="1"/>
    <x v="26"/>
    <x v="1"/>
    <n v="1"/>
    <n v="2"/>
    <n v="8"/>
    <n v="0"/>
    <n v="0"/>
    <n v="0"/>
    <n v="8"/>
  </r>
  <r>
    <x v="0"/>
    <x v="26"/>
    <x v="1"/>
    <n v="28"/>
    <n v="7"/>
    <n v="72"/>
    <n v="2"/>
    <n v="0"/>
    <n v="1"/>
    <n v="69"/>
  </r>
  <r>
    <x v="1"/>
    <x v="26"/>
    <x v="2"/>
    <n v="0"/>
    <n v="0"/>
    <n v="2"/>
    <n v="0"/>
    <n v="0"/>
    <n v="0"/>
    <n v="2"/>
  </r>
  <r>
    <x v="0"/>
    <x v="26"/>
    <x v="2"/>
    <n v="44"/>
    <n v="9"/>
    <n v="73"/>
    <n v="1"/>
    <n v="0"/>
    <n v="0"/>
    <n v="72"/>
  </r>
  <r>
    <x v="1"/>
    <x v="26"/>
    <x v="3"/>
    <n v="0"/>
    <n v="0"/>
    <n v="0"/>
    <n v="0"/>
    <n v="0"/>
    <n v="0"/>
    <n v="0"/>
  </r>
  <r>
    <x v="0"/>
    <x v="26"/>
    <x v="3"/>
    <n v="0"/>
    <n v="0"/>
    <n v="1"/>
    <n v="0"/>
    <n v="0"/>
    <n v="0"/>
    <n v="1"/>
  </r>
  <r>
    <x v="1"/>
    <x v="26"/>
    <x v="4"/>
    <n v="0"/>
    <n v="0"/>
    <n v="3"/>
    <n v="0"/>
    <n v="0"/>
    <n v="0"/>
    <n v="3"/>
  </r>
  <r>
    <x v="0"/>
    <x v="26"/>
    <x v="4"/>
    <n v="0"/>
    <n v="0"/>
    <n v="3"/>
    <n v="0"/>
    <n v="0"/>
    <n v="0"/>
    <n v="3"/>
  </r>
  <r>
    <x v="0"/>
    <x v="26"/>
    <x v="0"/>
    <n v="0"/>
    <n v="0"/>
    <n v="0"/>
    <n v="0"/>
    <n v="0"/>
    <n v="0"/>
    <n v="0"/>
  </r>
  <r>
    <x v="1"/>
    <x v="27"/>
    <x v="1"/>
    <n v="5"/>
    <n v="2"/>
    <n v="1"/>
    <n v="0"/>
    <n v="0"/>
    <n v="0"/>
    <n v="1"/>
  </r>
  <r>
    <x v="0"/>
    <x v="27"/>
    <x v="1"/>
    <n v="47"/>
    <n v="8"/>
    <n v="67"/>
    <n v="1"/>
    <n v="4"/>
    <n v="6"/>
    <n v="56"/>
  </r>
  <r>
    <x v="1"/>
    <x v="27"/>
    <x v="2"/>
    <n v="0"/>
    <n v="0"/>
    <n v="1"/>
    <n v="0"/>
    <n v="0"/>
    <n v="0"/>
    <n v="1"/>
  </r>
  <r>
    <x v="0"/>
    <x v="27"/>
    <x v="2"/>
    <n v="59"/>
    <n v="22"/>
    <n v="57"/>
    <n v="0"/>
    <n v="0"/>
    <n v="0"/>
    <n v="57"/>
  </r>
  <r>
    <x v="1"/>
    <x v="27"/>
    <x v="3"/>
    <n v="0"/>
    <n v="0"/>
    <n v="0"/>
    <n v="0"/>
    <n v="0"/>
    <n v="0"/>
    <n v="0"/>
  </r>
  <r>
    <x v="0"/>
    <x v="27"/>
    <x v="3"/>
    <n v="1"/>
    <n v="0"/>
    <n v="0"/>
    <n v="0"/>
    <n v="0"/>
    <n v="0"/>
    <n v="0"/>
  </r>
  <r>
    <x v="1"/>
    <x v="27"/>
    <x v="4"/>
    <n v="0"/>
    <n v="1"/>
    <n v="2"/>
    <n v="0"/>
    <n v="0"/>
    <n v="0"/>
    <n v="2"/>
  </r>
  <r>
    <x v="0"/>
    <x v="27"/>
    <x v="4"/>
    <n v="0"/>
    <n v="0"/>
    <n v="0"/>
    <n v="0"/>
    <n v="0"/>
    <n v="0"/>
    <n v="0"/>
  </r>
  <r>
    <x v="0"/>
    <x v="27"/>
    <x v="0"/>
    <n v="0"/>
    <n v="0"/>
    <n v="0"/>
    <n v="0"/>
    <n v="0"/>
    <n v="0"/>
    <n v="0"/>
  </r>
  <r>
    <x v="1"/>
    <x v="28"/>
    <x v="1"/>
    <n v="2"/>
    <n v="5"/>
    <n v="4"/>
    <n v="0"/>
    <n v="0"/>
    <n v="0"/>
    <n v="4"/>
  </r>
  <r>
    <x v="0"/>
    <x v="28"/>
    <x v="1"/>
    <n v="43"/>
    <n v="15"/>
    <n v="95"/>
    <n v="9"/>
    <n v="8"/>
    <n v="3"/>
    <n v="75"/>
  </r>
  <r>
    <x v="1"/>
    <x v="28"/>
    <x v="2"/>
    <n v="0"/>
    <n v="0"/>
    <n v="4"/>
    <n v="0"/>
    <n v="0"/>
    <n v="0"/>
    <n v="4"/>
  </r>
  <r>
    <x v="0"/>
    <x v="28"/>
    <x v="2"/>
    <n v="41"/>
    <n v="21"/>
    <n v="104"/>
    <n v="1"/>
    <n v="0"/>
    <n v="2"/>
    <n v="101"/>
  </r>
  <r>
    <x v="1"/>
    <x v="28"/>
    <x v="3"/>
    <n v="0"/>
    <n v="0"/>
    <n v="0"/>
    <n v="0"/>
    <n v="0"/>
    <n v="0"/>
    <n v="0"/>
  </r>
  <r>
    <x v="0"/>
    <x v="28"/>
    <x v="3"/>
    <n v="1"/>
    <n v="0"/>
    <n v="1"/>
    <n v="0"/>
    <n v="0"/>
    <n v="0"/>
    <n v="1"/>
  </r>
  <r>
    <x v="1"/>
    <x v="28"/>
    <x v="4"/>
    <n v="1"/>
    <n v="0"/>
    <n v="0"/>
    <n v="0"/>
    <n v="0"/>
    <n v="0"/>
    <n v="0"/>
  </r>
  <r>
    <x v="0"/>
    <x v="28"/>
    <x v="4"/>
    <n v="0"/>
    <n v="0"/>
    <n v="4"/>
    <n v="1"/>
    <n v="0"/>
    <n v="0"/>
    <n v="3"/>
  </r>
  <r>
    <x v="0"/>
    <x v="28"/>
    <x v="0"/>
    <n v="0"/>
    <n v="0"/>
    <n v="0"/>
    <n v="0"/>
    <n v="0"/>
    <n v="0"/>
    <n v="0"/>
  </r>
  <r>
    <x v="1"/>
    <x v="29"/>
    <x v="1"/>
    <n v="0"/>
    <n v="5"/>
    <n v="3"/>
    <n v="0"/>
    <n v="0"/>
    <n v="0"/>
    <n v="3"/>
  </r>
  <r>
    <x v="0"/>
    <x v="29"/>
    <x v="1"/>
    <n v="58"/>
    <n v="28"/>
    <n v="66"/>
    <n v="13"/>
    <n v="16"/>
    <n v="2"/>
    <n v="35"/>
  </r>
  <r>
    <x v="1"/>
    <x v="29"/>
    <x v="2"/>
    <n v="0"/>
    <n v="0"/>
    <n v="1"/>
    <n v="0"/>
    <n v="0"/>
    <n v="0"/>
    <n v="1"/>
  </r>
  <r>
    <x v="0"/>
    <x v="29"/>
    <x v="2"/>
    <n v="121"/>
    <n v="46"/>
    <n v="75"/>
    <n v="2"/>
    <n v="1"/>
    <n v="4"/>
    <n v="68"/>
  </r>
  <r>
    <x v="1"/>
    <x v="29"/>
    <x v="3"/>
    <n v="0"/>
    <n v="0"/>
    <n v="0"/>
    <n v="0"/>
    <n v="0"/>
    <n v="0"/>
    <n v="0"/>
  </r>
  <r>
    <x v="0"/>
    <x v="29"/>
    <x v="3"/>
    <n v="0"/>
    <n v="0"/>
    <n v="2"/>
    <n v="0"/>
    <n v="0"/>
    <n v="0"/>
    <n v="2"/>
  </r>
  <r>
    <x v="1"/>
    <x v="29"/>
    <x v="4"/>
    <n v="0"/>
    <n v="0"/>
    <n v="1"/>
    <n v="0"/>
    <n v="0"/>
    <n v="0"/>
    <n v="1"/>
  </r>
  <r>
    <x v="0"/>
    <x v="29"/>
    <x v="4"/>
    <n v="1"/>
    <n v="0"/>
    <n v="2"/>
    <n v="2"/>
    <n v="0"/>
    <n v="0"/>
    <n v="0"/>
  </r>
  <r>
    <x v="0"/>
    <x v="29"/>
    <x v="0"/>
    <n v="0"/>
    <n v="0"/>
    <n v="0"/>
    <n v="0"/>
    <n v="0"/>
    <n v="0"/>
    <n v="0"/>
  </r>
  <r>
    <x v="1"/>
    <x v="30"/>
    <x v="1"/>
    <n v="4"/>
    <n v="6"/>
    <n v="2"/>
    <n v="0"/>
    <n v="0"/>
    <n v="1"/>
    <n v="1"/>
  </r>
  <r>
    <x v="0"/>
    <x v="30"/>
    <x v="1"/>
    <n v="73"/>
    <n v="25"/>
    <n v="48"/>
    <n v="9"/>
    <n v="14"/>
    <n v="3"/>
    <n v="22"/>
  </r>
  <r>
    <x v="1"/>
    <x v="30"/>
    <x v="2"/>
    <n v="1"/>
    <n v="1"/>
    <n v="0"/>
    <n v="0"/>
    <n v="0"/>
    <n v="0"/>
    <n v="0"/>
  </r>
  <r>
    <x v="0"/>
    <x v="30"/>
    <x v="2"/>
    <n v="145"/>
    <n v="52"/>
    <n v="15"/>
    <n v="1"/>
    <n v="0"/>
    <n v="2"/>
    <n v="12"/>
  </r>
  <r>
    <x v="1"/>
    <x v="30"/>
    <x v="3"/>
    <n v="0"/>
    <n v="0"/>
    <n v="0"/>
    <n v="0"/>
    <n v="0"/>
    <n v="0"/>
    <n v="0"/>
  </r>
  <r>
    <x v="0"/>
    <x v="30"/>
    <x v="3"/>
    <n v="2"/>
    <n v="0"/>
    <n v="3"/>
    <n v="0"/>
    <n v="0"/>
    <n v="0"/>
    <n v="3"/>
  </r>
  <r>
    <x v="1"/>
    <x v="30"/>
    <x v="4"/>
    <n v="1"/>
    <n v="1"/>
    <n v="2"/>
    <n v="0"/>
    <n v="0"/>
    <n v="0"/>
    <n v="2"/>
  </r>
  <r>
    <x v="0"/>
    <x v="30"/>
    <x v="4"/>
    <n v="0"/>
    <n v="0"/>
    <n v="1"/>
    <n v="0"/>
    <n v="0"/>
    <n v="0"/>
    <n v="1"/>
  </r>
  <r>
    <x v="0"/>
    <x v="30"/>
    <x v="0"/>
    <n v="0"/>
    <n v="0"/>
    <n v="0"/>
    <n v="0"/>
    <n v="0"/>
    <n v="0"/>
    <n v="0"/>
  </r>
  <r>
    <x v="0"/>
    <x v="31"/>
    <x v="1"/>
    <n v="88"/>
    <n v="26"/>
    <n v="84"/>
    <n v="12"/>
    <n v="9"/>
    <n v="8"/>
    <n v="55"/>
  </r>
  <r>
    <x v="1"/>
    <x v="31"/>
    <x v="1"/>
    <n v="2"/>
    <n v="2"/>
    <n v="13"/>
    <n v="0"/>
    <n v="0"/>
    <n v="0"/>
    <n v="13"/>
  </r>
  <r>
    <x v="0"/>
    <x v="31"/>
    <x v="2"/>
    <n v="124"/>
    <n v="31"/>
    <n v="51"/>
    <n v="1"/>
    <n v="1"/>
    <n v="4"/>
    <n v="45"/>
  </r>
  <r>
    <x v="1"/>
    <x v="31"/>
    <x v="2"/>
    <n v="0"/>
    <n v="1"/>
    <n v="2"/>
    <n v="0"/>
    <n v="0"/>
    <n v="0"/>
    <n v="2"/>
  </r>
  <r>
    <x v="0"/>
    <x v="31"/>
    <x v="3"/>
    <n v="2"/>
    <n v="1"/>
    <n v="3"/>
    <n v="1"/>
    <n v="0"/>
    <n v="0"/>
    <n v="2"/>
  </r>
  <r>
    <x v="0"/>
    <x v="31"/>
    <x v="5"/>
    <n v="0"/>
    <n v="0"/>
    <n v="0"/>
    <n v="0"/>
    <n v="0"/>
    <n v="0"/>
    <n v="0"/>
  </r>
  <r>
    <x v="0"/>
    <x v="31"/>
    <x v="6"/>
    <n v="0"/>
    <n v="1"/>
    <n v="0"/>
    <n v="0"/>
    <n v="0"/>
    <n v="0"/>
    <n v="0"/>
  </r>
  <r>
    <x v="1"/>
    <x v="31"/>
    <x v="5"/>
    <n v="0"/>
    <n v="0"/>
    <n v="6"/>
    <n v="0"/>
    <n v="0"/>
    <n v="0"/>
    <n v="6"/>
  </r>
  <r>
    <x v="1"/>
    <x v="31"/>
    <x v="6"/>
    <n v="0"/>
    <n v="0"/>
    <n v="1"/>
    <n v="0"/>
    <n v="0"/>
    <n v="0"/>
    <n v="1"/>
  </r>
  <r>
    <x v="0"/>
    <x v="31"/>
    <x v="0"/>
    <n v="0"/>
    <n v="0"/>
    <n v="0"/>
    <n v="0"/>
    <n v="0"/>
    <n v="0"/>
    <n v="0"/>
  </r>
  <r>
    <x v="0"/>
    <x v="32"/>
    <x v="1"/>
    <n v="76"/>
    <n v="28"/>
    <n v="71"/>
    <n v="16"/>
    <n v="13"/>
    <n v="13"/>
    <n v="29"/>
  </r>
  <r>
    <x v="1"/>
    <x v="32"/>
    <x v="1"/>
    <n v="2"/>
    <n v="5"/>
    <n v="15"/>
    <n v="1"/>
    <n v="0"/>
    <n v="0"/>
    <n v="14"/>
  </r>
  <r>
    <x v="0"/>
    <x v="32"/>
    <x v="2"/>
    <n v="136"/>
    <n v="65"/>
    <n v="26"/>
    <n v="1"/>
    <n v="3"/>
    <n v="4"/>
    <n v="18"/>
  </r>
  <r>
    <x v="1"/>
    <x v="32"/>
    <x v="2"/>
    <n v="0"/>
    <n v="0"/>
    <n v="2"/>
    <n v="0"/>
    <n v="0"/>
    <n v="0"/>
    <n v="2"/>
  </r>
  <r>
    <x v="0"/>
    <x v="32"/>
    <x v="3"/>
    <n v="4"/>
    <n v="0"/>
    <n v="2"/>
    <n v="1"/>
    <n v="0"/>
    <n v="0"/>
    <n v="1"/>
  </r>
  <r>
    <x v="0"/>
    <x v="32"/>
    <x v="5"/>
    <n v="1"/>
    <n v="2"/>
    <n v="2"/>
    <n v="0"/>
    <n v="0"/>
    <n v="0"/>
    <n v="2"/>
  </r>
  <r>
    <x v="0"/>
    <x v="32"/>
    <x v="6"/>
    <n v="0"/>
    <n v="0"/>
    <n v="1"/>
    <n v="0"/>
    <n v="0"/>
    <n v="0"/>
    <n v="1"/>
  </r>
  <r>
    <x v="1"/>
    <x v="32"/>
    <x v="5"/>
    <n v="0"/>
    <n v="0"/>
    <n v="3"/>
    <n v="0"/>
    <n v="0"/>
    <n v="0"/>
    <n v="3"/>
  </r>
  <r>
    <x v="1"/>
    <x v="32"/>
    <x v="6"/>
    <n v="0"/>
    <n v="0"/>
    <n v="0"/>
    <n v="0"/>
    <n v="0"/>
    <n v="0"/>
    <n v="0"/>
  </r>
  <r>
    <x v="0"/>
    <x v="32"/>
    <x v="0"/>
    <n v="0"/>
    <n v="0"/>
    <n v="0"/>
    <n v="0"/>
    <n v="0"/>
    <n v="0"/>
    <n v="0"/>
  </r>
  <r>
    <x v="0"/>
    <x v="33"/>
    <x v="1"/>
    <n v="117"/>
    <n v="36"/>
    <n v="75"/>
    <n v="21"/>
    <n v="14"/>
    <n v="9"/>
    <n v="31"/>
  </r>
  <r>
    <x v="1"/>
    <x v="33"/>
    <x v="1"/>
    <n v="1"/>
    <n v="1"/>
    <n v="7"/>
    <n v="0"/>
    <n v="0"/>
    <n v="0"/>
    <n v="7"/>
  </r>
  <r>
    <x v="0"/>
    <x v="33"/>
    <x v="2"/>
    <n v="187"/>
    <n v="92"/>
    <n v="22"/>
    <n v="0"/>
    <n v="2"/>
    <n v="5"/>
    <n v="15"/>
  </r>
  <r>
    <x v="1"/>
    <x v="33"/>
    <x v="2"/>
    <n v="0"/>
    <n v="0"/>
    <n v="2"/>
    <n v="0"/>
    <n v="0"/>
    <n v="0"/>
    <n v="2"/>
  </r>
  <r>
    <x v="0"/>
    <x v="33"/>
    <x v="3"/>
    <n v="1"/>
    <n v="2"/>
    <n v="0"/>
    <n v="0"/>
    <n v="0"/>
    <n v="0"/>
    <n v="0"/>
  </r>
  <r>
    <x v="0"/>
    <x v="33"/>
    <x v="5"/>
    <n v="0"/>
    <n v="0"/>
    <n v="1"/>
    <n v="0"/>
    <n v="0"/>
    <n v="0"/>
    <n v="1"/>
  </r>
  <r>
    <x v="0"/>
    <x v="33"/>
    <x v="6"/>
    <n v="0"/>
    <n v="0"/>
    <n v="3"/>
    <n v="0"/>
    <n v="0"/>
    <n v="0"/>
    <n v="3"/>
  </r>
  <r>
    <x v="1"/>
    <x v="33"/>
    <x v="5"/>
    <n v="0"/>
    <n v="0"/>
    <n v="4"/>
    <n v="0"/>
    <n v="0"/>
    <n v="0"/>
    <n v="4"/>
  </r>
  <r>
    <x v="1"/>
    <x v="33"/>
    <x v="6"/>
    <n v="0"/>
    <n v="0"/>
    <n v="0"/>
    <n v="0"/>
    <n v="0"/>
    <n v="0"/>
    <n v="0"/>
  </r>
  <r>
    <x v="0"/>
    <x v="33"/>
    <x v="0"/>
    <n v="0"/>
    <n v="0"/>
    <n v="0"/>
    <n v="0"/>
    <n v="0"/>
    <n v="0"/>
    <n v="0"/>
  </r>
  <r>
    <x v="0"/>
    <x v="34"/>
    <x v="1"/>
    <n v="111"/>
    <n v="31"/>
    <n v="66"/>
    <n v="14"/>
    <n v="12"/>
    <n v="12"/>
    <n v="28"/>
  </r>
  <r>
    <x v="1"/>
    <x v="34"/>
    <x v="1"/>
    <n v="8"/>
    <n v="3"/>
    <n v="17"/>
    <n v="0"/>
    <n v="0"/>
    <n v="0"/>
    <n v="17"/>
  </r>
  <r>
    <x v="0"/>
    <x v="34"/>
    <x v="2"/>
    <n v="197"/>
    <n v="83"/>
    <n v="42"/>
    <n v="1"/>
    <n v="0"/>
    <n v="9"/>
    <n v="32"/>
  </r>
  <r>
    <x v="1"/>
    <x v="34"/>
    <x v="2"/>
    <n v="2"/>
    <n v="1"/>
    <n v="2"/>
    <n v="0"/>
    <n v="0"/>
    <n v="0"/>
    <n v="2"/>
  </r>
  <r>
    <x v="0"/>
    <x v="34"/>
    <x v="3"/>
    <n v="1"/>
    <n v="1"/>
    <n v="1"/>
    <n v="0"/>
    <n v="0"/>
    <n v="0"/>
    <n v="1"/>
  </r>
  <r>
    <x v="0"/>
    <x v="34"/>
    <x v="5"/>
    <n v="0"/>
    <n v="0"/>
    <n v="0"/>
    <n v="0"/>
    <n v="0"/>
    <n v="0"/>
    <n v="0"/>
  </r>
  <r>
    <x v="0"/>
    <x v="34"/>
    <x v="6"/>
    <n v="0"/>
    <n v="0"/>
    <n v="2"/>
    <n v="0"/>
    <n v="0"/>
    <n v="1"/>
    <n v="1"/>
  </r>
  <r>
    <x v="1"/>
    <x v="34"/>
    <x v="5"/>
    <n v="1"/>
    <n v="0"/>
    <n v="0"/>
    <n v="0"/>
    <n v="0"/>
    <n v="0"/>
    <n v="0"/>
  </r>
  <r>
    <x v="1"/>
    <x v="34"/>
    <x v="6"/>
    <n v="0"/>
    <n v="0"/>
    <n v="1"/>
    <n v="0"/>
    <n v="0"/>
    <n v="0"/>
    <n v="1"/>
  </r>
  <r>
    <x v="0"/>
    <x v="34"/>
    <x v="0"/>
    <n v="0"/>
    <n v="0"/>
    <n v="0"/>
    <n v="0"/>
    <n v="0"/>
    <n v="0"/>
    <n v="0"/>
  </r>
  <r>
    <x v="0"/>
    <x v="35"/>
    <x v="1"/>
    <n v="91"/>
    <n v="37"/>
    <n v="49"/>
    <n v="8"/>
    <n v="6"/>
    <n v="11"/>
    <n v="24"/>
  </r>
  <r>
    <x v="1"/>
    <x v="35"/>
    <x v="1"/>
    <n v="7"/>
    <n v="1"/>
    <n v="11"/>
    <n v="0"/>
    <n v="0"/>
    <n v="0"/>
    <n v="11"/>
  </r>
  <r>
    <x v="0"/>
    <x v="35"/>
    <x v="2"/>
    <n v="145"/>
    <n v="108"/>
    <n v="33"/>
    <n v="0"/>
    <n v="4"/>
    <n v="5"/>
    <n v="24"/>
  </r>
  <r>
    <x v="1"/>
    <x v="35"/>
    <x v="2"/>
    <n v="0"/>
    <n v="1"/>
    <n v="5"/>
    <n v="0"/>
    <n v="0"/>
    <n v="0"/>
    <n v="5"/>
  </r>
  <r>
    <x v="0"/>
    <x v="35"/>
    <x v="3"/>
    <n v="5"/>
    <n v="0"/>
    <n v="1"/>
    <n v="0"/>
    <n v="0"/>
    <n v="0"/>
    <n v="1"/>
  </r>
  <r>
    <x v="0"/>
    <x v="35"/>
    <x v="5"/>
    <n v="0"/>
    <n v="1"/>
    <n v="6"/>
    <n v="0"/>
    <n v="1"/>
    <n v="1"/>
    <n v="4"/>
  </r>
  <r>
    <x v="0"/>
    <x v="35"/>
    <x v="6"/>
    <n v="0"/>
    <n v="0"/>
    <n v="1"/>
    <n v="0"/>
    <n v="0"/>
    <n v="0"/>
    <n v="1"/>
  </r>
  <r>
    <x v="1"/>
    <x v="35"/>
    <x v="5"/>
    <n v="0"/>
    <n v="0"/>
    <n v="2"/>
    <n v="0"/>
    <n v="0"/>
    <n v="0"/>
    <n v="2"/>
  </r>
  <r>
    <x v="1"/>
    <x v="35"/>
    <x v="6"/>
    <n v="0"/>
    <n v="0"/>
    <n v="1"/>
    <n v="0"/>
    <n v="0"/>
    <n v="0"/>
    <n v="1"/>
  </r>
  <r>
    <x v="0"/>
    <x v="35"/>
    <x v="0"/>
    <n v="0"/>
    <n v="0"/>
    <n v="0"/>
    <n v="0"/>
    <n v="0"/>
    <n v="0"/>
    <n v="0"/>
  </r>
  <r>
    <x v="0"/>
    <x v="36"/>
    <x v="1"/>
    <n v="143"/>
    <n v="62"/>
    <n v="144"/>
    <n v="77"/>
    <n v="23"/>
    <n v="12"/>
    <n v="32"/>
  </r>
  <r>
    <x v="1"/>
    <x v="36"/>
    <x v="1"/>
    <n v="1"/>
    <n v="6"/>
    <n v="8"/>
    <n v="0"/>
    <n v="0"/>
    <n v="0"/>
    <n v="8"/>
  </r>
  <r>
    <x v="0"/>
    <x v="36"/>
    <x v="2"/>
    <n v="193"/>
    <n v="181"/>
    <n v="45"/>
    <n v="2"/>
    <n v="2"/>
    <n v="5"/>
    <n v="36"/>
  </r>
  <r>
    <x v="1"/>
    <x v="36"/>
    <x v="2"/>
    <n v="0"/>
    <n v="2"/>
    <n v="2"/>
    <n v="0"/>
    <n v="0"/>
    <n v="0"/>
    <n v="2"/>
  </r>
  <r>
    <x v="0"/>
    <x v="36"/>
    <x v="3"/>
    <n v="6"/>
    <n v="1"/>
    <n v="1"/>
    <n v="0"/>
    <n v="0"/>
    <n v="0"/>
    <n v="1"/>
  </r>
  <r>
    <x v="0"/>
    <x v="36"/>
    <x v="5"/>
    <n v="0"/>
    <n v="1"/>
    <n v="4"/>
    <n v="0"/>
    <n v="0"/>
    <n v="0"/>
    <n v="4"/>
  </r>
  <r>
    <x v="0"/>
    <x v="36"/>
    <x v="6"/>
    <n v="0"/>
    <n v="2"/>
    <n v="30"/>
    <n v="26"/>
    <n v="0"/>
    <n v="0"/>
    <n v="4"/>
  </r>
  <r>
    <x v="1"/>
    <x v="36"/>
    <x v="5"/>
    <n v="0"/>
    <n v="3"/>
    <n v="8"/>
    <n v="0"/>
    <n v="0"/>
    <n v="1"/>
    <n v="7"/>
  </r>
  <r>
    <x v="1"/>
    <x v="36"/>
    <x v="6"/>
    <n v="1"/>
    <n v="0"/>
    <n v="0"/>
    <n v="0"/>
    <n v="0"/>
    <n v="0"/>
    <n v="0"/>
  </r>
  <r>
    <x v="0"/>
    <x v="36"/>
    <x v="0"/>
    <n v="0"/>
    <n v="0"/>
    <n v="0"/>
    <n v="0"/>
    <n v="0"/>
    <n v="0"/>
    <n v="0"/>
  </r>
  <r>
    <x v="0"/>
    <x v="37"/>
    <x v="1"/>
    <n v="91"/>
    <n v="49"/>
    <n v="63"/>
    <n v="7"/>
    <n v="10"/>
    <n v="15"/>
    <n v="31"/>
  </r>
  <r>
    <x v="1"/>
    <x v="37"/>
    <x v="1"/>
    <n v="9"/>
    <n v="8"/>
    <n v="6"/>
    <n v="0"/>
    <n v="0"/>
    <n v="0"/>
    <n v="6"/>
  </r>
  <r>
    <x v="0"/>
    <x v="37"/>
    <x v="2"/>
    <n v="192"/>
    <n v="153"/>
    <n v="36"/>
    <n v="2"/>
    <n v="1"/>
    <n v="3"/>
    <n v="30"/>
  </r>
  <r>
    <x v="1"/>
    <x v="37"/>
    <x v="2"/>
    <n v="2"/>
    <n v="2"/>
    <n v="1"/>
    <n v="0"/>
    <n v="0"/>
    <n v="1"/>
    <n v="0"/>
  </r>
  <r>
    <x v="0"/>
    <x v="37"/>
    <x v="3"/>
    <n v="1"/>
    <n v="3"/>
    <n v="1"/>
    <n v="1"/>
    <n v="0"/>
    <n v="0"/>
    <n v="0"/>
  </r>
  <r>
    <x v="0"/>
    <x v="37"/>
    <x v="5"/>
    <n v="0"/>
    <n v="1"/>
    <n v="1"/>
    <n v="0"/>
    <n v="0"/>
    <n v="0"/>
    <n v="1"/>
  </r>
  <r>
    <x v="0"/>
    <x v="37"/>
    <x v="6"/>
    <n v="0"/>
    <n v="2"/>
    <n v="5"/>
    <n v="2"/>
    <n v="0"/>
    <n v="0"/>
    <n v="3"/>
  </r>
  <r>
    <x v="1"/>
    <x v="37"/>
    <x v="5"/>
    <n v="1"/>
    <n v="1"/>
    <n v="5"/>
    <n v="0"/>
    <n v="0"/>
    <n v="0"/>
    <n v="5"/>
  </r>
  <r>
    <x v="1"/>
    <x v="37"/>
    <x v="6"/>
    <n v="0"/>
    <n v="0"/>
    <n v="0"/>
    <n v="0"/>
    <n v="0"/>
    <n v="0"/>
    <n v="0"/>
  </r>
  <r>
    <x v="0"/>
    <x v="37"/>
    <x v="0"/>
    <n v="0"/>
    <n v="0"/>
    <n v="0"/>
    <n v="0"/>
    <n v="0"/>
    <n v="0"/>
    <n v="0"/>
  </r>
  <r>
    <x v="0"/>
    <x v="38"/>
    <x v="1"/>
    <n v="69"/>
    <n v="65"/>
    <n v="60"/>
    <n v="5"/>
    <n v="10"/>
    <n v="13"/>
    <n v="32"/>
  </r>
  <r>
    <x v="1"/>
    <x v="38"/>
    <x v="1"/>
    <n v="8"/>
    <n v="8"/>
    <n v="2"/>
    <n v="0"/>
    <n v="0"/>
    <n v="0"/>
    <n v="2"/>
  </r>
  <r>
    <x v="0"/>
    <x v="38"/>
    <x v="2"/>
    <n v="172"/>
    <n v="110"/>
    <n v="39"/>
    <n v="5"/>
    <n v="1"/>
    <n v="6"/>
    <n v="27"/>
  </r>
  <r>
    <x v="1"/>
    <x v="38"/>
    <x v="2"/>
    <n v="3"/>
    <n v="4"/>
    <n v="0"/>
    <n v="0"/>
    <n v="0"/>
    <n v="0"/>
    <n v="0"/>
  </r>
  <r>
    <x v="0"/>
    <x v="38"/>
    <x v="3"/>
    <n v="1"/>
    <n v="2"/>
    <n v="5"/>
    <n v="2"/>
    <n v="0"/>
    <n v="0"/>
    <n v="3"/>
  </r>
  <r>
    <x v="0"/>
    <x v="38"/>
    <x v="5"/>
    <n v="0"/>
    <n v="0"/>
    <n v="7"/>
    <n v="0"/>
    <n v="0"/>
    <n v="0"/>
    <n v="7"/>
  </r>
  <r>
    <x v="0"/>
    <x v="38"/>
    <x v="6"/>
    <n v="0"/>
    <n v="2"/>
    <n v="3"/>
    <n v="0"/>
    <n v="0"/>
    <n v="0"/>
    <n v="3"/>
  </r>
  <r>
    <x v="1"/>
    <x v="38"/>
    <x v="5"/>
    <n v="1"/>
    <n v="2"/>
    <n v="3"/>
    <n v="0"/>
    <n v="0"/>
    <n v="0"/>
    <n v="3"/>
  </r>
  <r>
    <x v="1"/>
    <x v="38"/>
    <x v="6"/>
    <n v="0"/>
    <n v="0"/>
    <n v="1"/>
    <n v="0"/>
    <n v="0"/>
    <n v="0"/>
    <n v="1"/>
  </r>
  <r>
    <x v="0"/>
    <x v="38"/>
    <x v="0"/>
    <n v="0"/>
    <n v="0"/>
    <n v="0"/>
    <n v="0"/>
    <n v="0"/>
    <n v="0"/>
    <n v="0"/>
  </r>
  <r>
    <x v="0"/>
    <x v="39"/>
    <x v="1"/>
    <n v="58"/>
    <n v="63"/>
    <n v="52"/>
    <n v="5"/>
    <n v="8"/>
    <n v="8"/>
    <n v="31"/>
  </r>
  <r>
    <x v="1"/>
    <x v="39"/>
    <x v="1"/>
    <n v="11"/>
    <n v="12"/>
    <n v="3"/>
    <n v="0"/>
    <n v="0"/>
    <n v="0"/>
    <n v="3"/>
  </r>
  <r>
    <x v="0"/>
    <x v="39"/>
    <x v="2"/>
    <n v="168"/>
    <n v="110"/>
    <n v="42"/>
    <n v="4"/>
    <n v="6"/>
    <n v="4"/>
    <n v="28"/>
  </r>
  <r>
    <x v="1"/>
    <x v="39"/>
    <x v="2"/>
    <n v="2"/>
    <n v="0"/>
    <n v="0"/>
    <n v="0"/>
    <n v="0"/>
    <n v="0"/>
    <n v="0"/>
  </r>
  <r>
    <x v="0"/>
    <x v="39"/>
    <x v="3"/>
    <n v="0"/>
    <n v="2"/>
    <n v="3"/>
    <n v="1"/>
    <n v="0"/>
    <n v="1"/>
    <n v="1"/>
  </r>
  <r>
    <x v="0"/>
    <x v="39"/>
    <x v="5"/>
    <n v="0"/>
    <n v="0"/>
    <n v="5"/>
    <n v="0"/>
    <n v="0"/>
    <n v="0"/>
    <n v="5"/>
  </r>
  <r>
    <x v="0"/>
    <x v="39"/>
    <x v="6"/>
    <n v="0"/>
    <n v="1"/>
    <n v="6"/>
    <n v="5"/>
    <n v="0"/>
    <n v="0"/>
    <n v="1"/>
  </r>
  <r>
    <x v="1"/>
    <x v="39"/>
    <x v="5"/>
    <n v="0"/>
    <n v="0"/>
    <n v="3"/>
    <n v="0"/>
    <n v="0"/>
    <n v="1"/>
    <n v="2"/>
  </r>
  <r>
    <x v="1"/>
    <x v="39"/>
    <x v="6"/>
    <n v="0"/>
    <n v="0"/>
    <n v="0"/>
    <n v="0"/>
    <n v="0"/>
    <n v="0"/>
    <n v="0"/>
  </r>
  <r>
    <x v="0"/>
    <x v="39"/>
    <x v="0"/>
    <n v="0"/>
    <n v="0"/>
    <n v="0"/>
    <n v="0"/>
    <n v="0"/>
    <n v="0"/>
    <n v="0"/>
  </r>
  <r>
    <x v="0"/>
    <x v="40"/>
    <x v="1"/>
    <n v="58"/>
    <n v="66"/>
    <n v="70"/>
    <n v="12"/>
    <n v="20"/>
    <n v="9"/>
    <n v="29"/>
  </r>
  <r>
    <x v="1"/>
    <x v="40"/>
    <x v="1"/>
    <n v="7"/>
    <n v="7"/>
    <n v="2"/>
    <n v="0"/>
    <n v="0"/>
    <n v="0"/>
    <n v="2"/>
  </r>
  <r>
    <x v="0"/>
    <x v="40"/>
    <x v="2"/>
    <n v="193"/>
    <n v="88"/>
    <n v="41"/>
    <n v="1"/>
    <n v="3"/>
    <n v="9"/>
    <n v="28"/>
  </r>
  <r>
    <x v="1"/>
    <x v="40"/>
    <x v="2"/>
    <n v="8"/>
    <n v="1"/>
    <n v="0"/>
    <n v="0"/>
    <n v="0"/>
    <n v="0"/>
    <n v="0"/>
  </r>
  <r>
    <x v="0"/>
    <x v="40"/>
    <x v="3"/>
    <n v="2"/>
    <n v="5"/>
    <n v="7"/>
    <n v="1"/>
    <n v="0"/>
    <n v="3"/>
    <n v="3"/>
  </r>
  <r>
    <x v="0"/>
    <x v="40"/>
    <x v="5"/>
    <n v="0"/>
    <n v="0"/>
    <n v="4"/>
    <n v="0"/>
    <n v="0"/>
    <n v="0"/>
    <n v="4"/>
  </r>
  <r>
    <x v="0"/>
    <x v="40"/>
    <x v="6"/>
    <n v="1"/>
    <n v="1"/>
    <n v="6"/>
    <n v="4"/>
    <n v="0"/>
    <n v="0"/>
    <n v="2"/>
  </r>
  <r>
    <x v="1"/>
    <x v="40"/>
    <x v="5"/>
    <n v="0"/>
    <n v="0"/>
    <n v="2"/>
    <n v="0"/>
    <n v="0"/>
    <n v="1"/>
    <n v="1"/>
  </r>
  <r>
    <x v="1"/>
    <x v="40"/>
    <x v="6"/>
    <n v="0"/>
    <n v="0"/>
    <n v="0"/>
    <n v="0"/>
    <n v="0"/>
    <n v="0"/>
    <n v="0"/>
  </r>
  <r>
    <x v="0"/>
    <x v="40"/>
    <x v="0"/>
    <n v="0"/>
    <n v="0"/>
    <n v="0"/>
    <n v="0"/>
    <n v="0"/>
    <n v="0"/>
    <n v="0"/>
  </r>
  <r>
    <x v="0"/>
    <x v="41"/>
    <x v="1"/>
    <n v="40"/>
    <n v="49"/>
    <n v="61"/>
    <n v="2"/>
    <n v="18"/>
    <n v="7"/>
    <n v="34"/>
  </r>
  <r>
    <x v="1"/>
    <x v="41"/>
    <x v="1"/>
    <n v="4"/>
    <n v="3"/>
    <n v="2"/>
    <n v="0"/>
    <n v="0"/>
    <n v="0"/>
    <n v="2"/>
  </r>
  <r>
    <x v="0"/>
    <x v="41"/>
    <x v="2"/>
    <n v="118"/>
    <n v="65"/>
    <n v="42"/>
    <n v="5"/>
    <n v="2"/>
    <n v="9"/>
    <n v="26"/>
  </r>
  <r>
    <x v="1"/>
    <x v="41"/>
    <x v="2"/>
    <n v="0"/>
    <n v="1"/>
    <n v="0"/>
    <n v="0"/>
    <n v="0"/>
    <n v="0"/>
    <n v="0"/>
  </r>
  <r>
    <x v="0"/>
    <x v="41"/>
    <x v="3"/>
    <n v="3"/>
    <n v="12"/>
    <n v="5"/>
    <n v="1"/>
    <n v="0"/>
    <n v="0"/>
    <n v="4"/>
  </r>
  <r>
    <x v="0"/>
    <x v="41"/>
    <x v="5"/>
    <n v="0"/>
    <n v="0"/>
    <n v="3"/>
    <n v="0"/>
    <n v="0"/>
    <n v="0"/>
    <n v="3"/>
  </r>
  <r>
    <x v="0"/>
    <x v="41"/>
    <x v="6"/>
    <n v="1"/>
    <n v="0"/>
    <n v="5"/>
    <n v="4"/>
    <n v="0"/>
    <n v="0"/>
    <n v="1"/>
  </r>
  <r>
    <x v="1"/>
    <x v="41"/>
    <x v="5"/>
    <n v="0"/>
    <n v="0"/>
    <n v="6"/>
    <n v="0"/>
    <n v="1"/>
    <n v="0"/>
    <n v="5"/>
  </r>
  <r>
    <x v="1"/>
    <x v="41"/>
    <x v="6"/>
    <n v="8"/>
    <n v="10"/>
    <n v="5"/>
    <n v="0"/>
    <n v="0"/>
    <n v="1"/>
    <n v="4"/>
  </r>
  <r>
    <x v="0"/>
    <x v="41"/>
    <x v="0"/>
    <n v="0"/>
    <n v="0"/>
    <n v="0"/>
    <n v="0"/>
    <n v="0"/>
    <n v="0"/>
    <n v="0"/>
  </r>
  <r>
    <x v="0"/>
    <x v="42"/>
    <x v="1"/>
    <n v="54"/>
    <n v="57"/>
    <n v="70"/>
    <n v="8"/>
    <n v="28"/>
    <n v="12"/>
    <n v="22"/>
  </r>
  <r>
    <x v="1"/>
    <x v="42"/>
    <x v="1"/>
    <n v="3"/>
    <n v="3"/>
    <n v="1"/>
    <n v="0"/>
    <n v="0"/>
    <n v="0"/>
    <n v="1"/>
  </r>
  <r>
    <x v="0"/>
    <x v="42"/>
    <x v="2"/>
    <n v="141"/>
    <n v="87"/>
    <n v="31"/>
    <n v="2"/>
    <n v="2"/>
    <n v="1"/>
    <n v="26"/>
  </r>
  <r>
    <x v="1"/>
    <x v="42"/>
    <x v="2"/>
    <n v="0"/>
    <n v="0"/>
    <n v="1"/>
    <n v="0"/>
    <n v="0"/>
    <n v="0"/>
    <n v="1"/>
  </r>
  <r>
    <x v="0"/>
    <x v="42"/>
    <x v="3"/>
    <n v="4"/>
    <n v="12"/>
    <n v="8"/>
    <n v="2"/>
    <n v="0"/>
    <n v="2"/>
    <n v="4"/>
  </r>
  <r>
    <x v="0"/>
    <x v="42"/>
    <x v="5"/>
    <n v="1"/>
    <n v="1"/>
    <n v="1"/>
    <n v="0"/>
    <n v="0"/>
    <n v="0"/>
    <n v="1"/>
  </r>
  <r>
    <x v="0"/>
    <x v="42"/>
    <x v="6"/>
    <n v="21"/>
    <n v="14"/>
    <n v="30"/>
    <n v="17"/>
    <n v="2"/>
    <n v="1"/>
    <n v="10"/>
  </r>
  <r>
    <x v="1"/>
    <x v="42"/>
    <x v="5"/>
    <n v="0"/>
    <n v="0"/>
    <n v="4"/>
    <n v="0"/>
    <n v="0"/>
    <n v="0"/>
    <n v="4"/>
  </r>
  <r>
    <x v="1"/>
    <x v="42"/>
    <x v="6"/>
    <n v="5"/>
    <n v="3"/>
    <n v="5"/>
    <n v="0"/>
    <n v="0"/>
    <n v="0"/>
    <n v="5"/>
  </r>
  <r>
    <x v="0"/>
    <x v="42"/>
    <x v="0"/>
    <n v="0"/>
    <n v="0"/>
    <n v="0"/>
    <n v="0"/>
    <n v="0"/>
    <n v="0"/>
    <n v="0"/>
  </r>
  <r>
    <x v="1"/>
    <x v="43"/>
    <x v="1"/>
    <n v="14"/>
    <n v="9"/>
    <n v="4"/>
    <n v="0"/>
    <n v="0"/>
    <n v="0"/>
    <n v="4"/>
  </r>
  <r>
    <x v="1"/>
    <x v="43"/>
    <x v="2"/>
    <n v="1"/>
    <n v="0"/>
    <n v="0"/>
    <n v="0"/>
    <n v="0"/>
    <n v="0"/>
    <n v="0"/>
  </r>
  <r>
    <x v="1"/>
    <x v="43"/>
    <x v="3"/>
    <n v="0"/>
    <n v="0"/>
    <n v="0"/>
    <n v="0"/>
    <n v="0"/>
    <n v="0"/>
    <n v="0"/>
  </r>
  <r>
    <x v="1"/>
    <x v="43"/>
    <x v="5"/>
    <n v="0"/>
    <n v="0"/>
    <n v="3"/>
    <n v="0"/>
    <n v="0"/>
    <n v="1"/>
    <n v="2"/>
  </r>
  <r>
    <x v="1"/>
    <x v="43"/>
    <x v="6"/>
    <n v="0"/>
    <n v="0"/>
    <n v="2"/>
    <n v="0"/>
    <n v="0"/>
    <n v="0"/>
    <n v="2"/>
  </r>
  <r>
    <x v="0"/>
    <x v="43"/>
    <x v="1"/>
    <n v="43"/>
    <n v="54"/>
    <n v="81"/>
    <n v="12"/>
    <n v="31"/>
    <n v="10"/>
    <n v="28"/>
  </r>
  <r>
    <x v="0"/>
    <x v="43"/>
    <x v="2"/>
    <n v="130"/>
    <n v="132"/>
    <n v="48"/>
    <n v="9"/>
    <n v="2"/>
    <n v="4"/>
    <n v="33"/>
  </r>
  <r>
    <x v="0"/>
    <x v="43"/>
    <x v="3"/>
    <n v="8"/>
    <n v="9"/>
    <n v="7"/>
    <n v="2"/>
    <n v="0"/>
    <n v="0"/>
    <n v="5"/>
  </r>
  <r>
    <x v="0"/>
    <x v="43"/>
    <x v="0"/>
    <n v="0"/>
    <n v="0"/>
    <n v="0"/>
    <n v="0"/>
    <n v="0"/>
    <n v="0"/>
    <n v="0"/>
  </r>
  <r>
    <x v="0"/>
    <x v="43"/>
    <x v="5"/>
    <n v="0"/>
    <n v="0"/>
    <n v="1"/>
    <n v="0"/>
    <n v="0"/>
    <n v="0"/>
    <n v="1"/>
  </r>
  <r>
    <x v="0"/>
    <x v="43"/>
    <x v="6"/>
    <n v="0"/>
    <n v="1"/>
    <n v="17"/>
    <n v="12"/>
    <n v="0"/>
    <n v="0"/>
    <n v="5"/>
  </r>
  <r>
    <x v="1"/>
    <x v="44"/>
    <x v="1"/>
    <n v="3"/>
    <n v="11"/>
    <n v="2"/>
    <n v="0"/>
    <n v="0"/>
    <n v="0"/>
    <n v="2"/>
  </r>
  <r>
    <x v="1"/>
    <x v="44"/>
    <x v="2"/>
    <n v="0"/>
    <n v="2"/>
    <n v="0"/>
    <n v="0"/>
    <n v="0"/>
    <n v="0"/>
    <n v="0"/>
  </r>
  <r>
    <x v="1"/>
    <x v="44"/>
    <x v="3"/>
    <n v="0"/>
    <n v="0"/>
    <n v="0"/>
    <n v="0"/>
    <n v="0"/>
    <n v="0"/>
    <n v="0"/>
  </r>
  <r>
    <x v="1"/>
    <x v="44"/>
    <x v="5"/>
    <n v="0"/>
    <n v="0"/>
    <n v="4"/>
    <n v="0"/>
    <n v="0"/>
    <n v="0"/>
    <n v="4"/>
  </r>
  <r>
    <x v="1"/>
    <x v="44"/>
    <x v="6"/>
    <n v="0"/>
    <n v="0"/>
    <n v="0"/>
    <n v="0"/>
    <n v="0"/>
    <n v="0"/>
    <n v="0"/>
  </r>
  <r>
    <x v="0"/>
    <x v="44"/>
    <x v="1"/>
    <n v="51"/>
    <n v="57"/>
    <n v="63"/>
    <n v="8"/>
    <n v="15"/>
    <n v="12"/>
    <n v="28"/>
  </r>
  <r>
    <x v="0"/>
    <x v="44"/>
    <x v="2"/>
    <n v="119"/>
    <n v="133"/>
    <n v="38"/>
    <n v="1"/>
    <n v="4"/>
    <n v="3"/>
    <n v="30"/>
  </r>
  <r>
    <x v="0"/>
    <x v="44"/>
    <x v="3"/>
    <n v="8"/>
    <n v="11"/>
    <n v="4"/>
    <n v="0"/>
    <n v="0"/>
    <n v="2"/>
    <n v="2"/>
  </r>
  <r>
    <x v="0"/>
    <x v="44"/>
    <x v="0"/>
    <n v="0"/>
    <n v="0"/>
    <n v="0"/>
    <n v="0"/>
    <n v="0"/>
    <n v="0"/>
    <n v="0"/>
  </r>
  <r>
    <x v="0"/>
    <x v="44"/>
    <x v="5"/>
    <n v="0"/>
    <n v="1"/>
    <n v="3"/>
    <n v="0"/>
    <n v="0"/>
    <n v="0"/>
    <n v="3"/>
  </r>
  <r>
    <x v="0"/>
    <x v="44"/>
    <x v="6"/>
    <n v="0"/>
    <n v="0"/>
    <n v="10"/>
    <n v="8"/>
    <n v="0"/>
    <n v="0"/>
    <n v="2"/>
  </r>
  <r>
    <x v="1"/>
    <x v="45"/>
    <x v="1"/>
    <n v="14"/>
    <n v="11"/>
    <n v="7"/>
    <n v="0"/>
    <n v="0"/>
    <n v="0"/>
    <n v="7"/>
  </r>
  <r>
    <x v="1"/>
    <x v="45"/>
    <x v="2"/>
    <n v="3"/>
    <n v="3"/>
    <n v="2"/>
    <n v="0"/>
    <n v="0"/>
    <n v="0"/>
    <n v="2"/>
  </r>
  <r>
    <x v="1"/>
    <x v="45"/>
    <x v="3"/>
    <n v="0"/>
    <n v="0"/>
    <n v="0"/>
    <n v="0"/>
    <n v="0"/>
    <n v="0"/>
    <n v="0"/>
  </r>
  <r>
    <x v="1"/>
    <x v="45"/>
    <x v="5"/>
    <n v="0"/>
    <n v="0"/>
    <n v="3"/>
    <n v="0"/>
    <n v="0"/>
    <n v="0"/>
    <n v="3"/>
  </r>
  <r>
    <x v="1"/>
    <x v="45"/>
    <x v="6"/>
    <n v="1"/>
    <n v="0"/>
    <n v="0"/>
    <n v="0"/>
    <n v="0"/>
    <n v="0"/>
    <n v="0"/>
  </r>
  <r>
    <x v="0"/>
    <x v="45"/>
    <x v="1"/>
    <n v="65"/>
    <n v="75"/>
    <n v="76"/>
    <n v="10"/>
    <n v="20"/>
    <n v="11"/>
    <n v="35"/>
  </r>
  <r>
    <x v="0"/>
    <x v="45"/>
    <x v="2"/>
    <n v="182"/>
    <n v="148"/>
    <n v="55"/>
    <n v="3"/>
    <n v="2"/>
    <n v="10"/>
    <n v="40"/>
  </r>
  <r>
    <x v="0"/>
    <x v="45"/>
    <x v="3"/>
    <n v="11"/>
    <n v="23"/>
    <n v="10"/>
    <n v="0"/>
    <n v="0"/>
    <n v="4"/>
    <n v="6"/>
  </r>
  <r>
    <x v="0"/>
    <x v="45"/>
    <x v="0"/>
    <n v="0"/>
    <n v="0"/>
    <n v="0"/>
    <n v="0"/>
    <n v="0"/>
    <n v="0"/>
    <n v="0"/>
  </r>
  <r>
    <x v="0"/>
    <x v="45"/>
    <x v="5"/>
    <n v="1"/>
    <n v="0"/>
    <n v="1"/>
    <n v="0"/>
    <n v="0"/>
    <n v="1"/>
    <n v="0"/>
  </r>
  <r>
    <x v="0"/>
    <x v="45"/>
    <x v="6"/>
    <n v="1"/>
    <n v="0"/>
    <n v="11"/>
    <n v="9"/>
    <n v="0"/>
    <n v="1"/>
    <n v="1"/>
  </r>
  <r>
    <x v="1"/>
    <x v="46"/>
    <x v="1"/>
    <n v="7"/>
    <n v="5"/>
    <n v="5"/>
    <n v="0"/>
    <n v="0"/>
    <n v="0"/>
    <n v="5"/>
  </r>
  <r>
    <x v="1"/>
    <x v="46"/>
    <x v="2"/>
    <n v="0"/>
    <n v="1"/>
    <n v="0"/>
    <n v="0"/>
    <n v="0"/>
    <n v="0"/>
    <n v="0"/>
  </r>
  <r>
    <x v="1"/>
    <x v="46"/>
    <x v="3"/>
    <n v="0"/>
    <n v="0"/>
    <n v="0"/>
    <n v="0"/>
    <n v="0"/>
    <n v="0"/>
    <n v="0"/>
  </r>
  <r>
    <x v="1"/>
    <x v="46"/>
    <x v="5"/>
    <n v="1"/>
    <n v="0"/>
    <n v="4"/>
    <n v="0"/>
    <n v="0"/>
    <n v="0"/>
    <n v="4"/>
  </r>
  <r>
    <x v="1"/>
    <x v="46"/>
    <x v="6"/>
    <n v="0"/>
    <n v="0"/>
    <n v="0"/>
    <n v="0"/>
    <n v="0"/>
    <n v="0"/>
    <n v="0"/>
  </r>
  <r>
    <x v="0"/>
    <x v="46"/>
    <x v="1"/>
    <n v="56"/>
    <n v="55"/>
    <n v="50"/>
    <n v="10"/>
    <n v="14"/>
    <n v="7"/>
    <n v="19"/>
  </r>
  <r>
    <x v="0"/>
    <x v="46"/>
    <x v="2"/>
    <n v="138"/>
    <n v="103"/>
    <n v="38"/>
    <n v="5"/>
    <n v="1"/>
    <n v="7"/>
    <n v="25"/>
  </r>
  <r>
    <x v="0"/>
    <x v="46"/>
    <x v="3"/>
    <n v="10"/>
    <n v="19"/>
    <n v="7"/>
    <n v="3"/>
    <n v="0"/>
    <n v="1"/>
    <n v="3"/>
  </r>
  <r>
    <x v="0"/>
    <x v="46"/>
    <x v="0"/>
    <n v="0"/>
    <n v="0"/>
    <n v="0"/>
    <n v="0"/>
    <n v="0"/>
    <n v="0"/>
    <n v="0"/>
  </r>
  <r>
    <x v="0"/>
    <x v="46"/>
    <x v="5"/>
    <n v="0"/>
    <n v="0"/>
    <n v="2"/>
    <n v="0"/>
    <n v="0"/>
    <n v="2"/>
    <n v="0"/>
  </r>
  <r>
    <x v="0"/>
    <x v="46"/>
    <x v="6"/>
    <n v="0"/>
    <n v="0"/>
    <n v="9"/>
    <n v="9"/>
    <n v="0"/>
    <n v="0"/>
    <n v="0"/>
  </r>
  <r>
    <x v="1"/>
    <x v="47"/>
    <x v="1"/>
    <n v="11"/>
    <n v="4"/>
    <n v="1"/>
    <n v="0"/>
    <n v="0"/>
    <n v="0"/>
    <n v="1"/>
  </r>
  <r>
    <x v="1"/>
    <x v="47"/>
    <x v="2"/>
    <n v="1"/>
    <n v="2"/>
    <n v="1"/>
    <n v="0"/>
    <n v="0"/>
    <n v="0"/>
    <n v="1"/>
  </r>
  <r>
    <x v="1"/>
    <x v="47"/>
    <x v="3"/>
    <n v="0"/>
    <n v="0"/>
    <n v="0"/>
    <n v="0"/>
    <n v="0"/>
    <n v="0"/>
    <n v="0"/>
  </r>
  <r>
    <x v="1"/>
    <x v="47"/>
    <x v="5"/>
    <n v="1"/>
    <n v="1"/>
    <n v="1"/>
    <n v="0"/>
    <n v="0"/>
    <n v="0"/>
    <n v="1"/>
  </r>
  <r>
    <x v="1"/>
    <x v="47"/>
    <x v="6"/>
    <n v="0"/>
    <n v="0"/>
    <n v="1"/>
    <n v="0"/>
    <n v="0"/>
    <n v="0"/>
    <n v="1"/>
  </r>
  <r>
    <x v="0"/>
    <x v="47"/>
    <x v="1"/>
    <n v="67"/>
    <n v="72"/>
    <n v="80"/>
    <n v="19"/>
    <n v="16"/>
    <n v="15"/>
    <n v="30"/>
  </r>
  <r>
    <x v="0"/>
    <x v="47"/>
    <x v="2"/>
    <n v="151"/>
    <n v="111"/>
    <n v="41"/>
    <n v="8"/>
    <n v="3"/>
    <n v="9"/>
    <n v="21"/>
  </r>
  <r>
    <x v="0"/>
    <x v="47"/>
    <x v="3"/>
    <n v="20"/>
    <n v="22"/>
    <n v="7"/>
    <n v="0"/>
    <n v="0"/>
    <n v="1"/>
    <n v="6"/>
  </r>
  <r>
    <x v="0"/>
    <x v="47"/>
    <x v="0"/>
    <n v="0"/>
    <n v="0"/>
    <n v="0"/>
    <n v="0"/>
    <n v="0"/>
    <n v="0"/>
    <n v="0"/>
  </r>
  <r>
    <x v="0"/>
    <x v="47"/>
    <x v="5"/>
    <n v="0"/>
    <n v="1"/>
    <n v="1"/>
    <n v="0"/>
    <n v="0"/>
    <n v="0"/>
    <n v="1"/>
  </r>
  <r>
    <x v="0"/>
    <x v="47"/>
    <x v="6"/>
    <n v="6"/>
    <n v="7"/>
    <n v="6"/>
    <n v="5"/>
    <n v="0"/>
    <n v="0"/>
    <n v="1"/>
  </r>
  <r>
    <x v="1"/>
    <x v="48"/>
    <x v="1"/>
    <n v="9"/>
    <n v="9"/>
    <n v="0"/>
    <n v="0"/>
    <n v="0"/>
    <n v="0"/>
    <n v="0"/>
  </r>
  <r>
    <x v="1"/>
    <x v="48"/>
    <x v="2"/>
    <n v="1"/>
    <n v="3"/>
    <n v="0"/>
    <n v="0"/>
    <n v="0"/>
    <n v="0"/>
    <n v="0"/>
  </r>
  <r>
    <x v="1"/>
    <x v="48"/>
    <x v="3"/>
    <n v="0"/>
    <n v="0"/>
    <n v="0"/>
    <n v="0"/>
    <n v="0"/>
    <n v="0"/>
    <n v="0"/>
  </r>
  <r>
    <x v="1"/>
    <x v="48"/>
    <x v="5"/>
    <n v="0"/>
    <n v="0"/>
    <n v="3"/>
    <n v="0"/>
    <n v="0"/>
    <n v="0"/>
    <n v="3"/>
  </r>
  <r>
    <x v="1"/>
    <x v="48"/>
    <x v="6"/>
    <n v="0"/>
    <n v="1"/>
    <n v="0"/>
    <n v="0"/>
    <n v="0"/>
    <n v="0"/>
    <n v="0"/>
  </r>
  <r>
    <x v="0"/>
    <x v="48"/>
    <x v="1"/>
    <n v="65"/>
    <n v="64"/>
    <n v="68"/>
    <n v="8"/>
    <n v="19"/>
    <n v="6"/>
    <n v="35"/>
  </r>
  <r>
    <x v="0"/>
    <x v="48"/>
    <x v="2"/>
    <n v="129"/>
    <n v="138"/>
    <n v="44"/>
    <n v="4"/>
    <n v="0"/>
    <n v="3"/>
    <n v="37"/>
  </r>
  <r>
    <x v="0"/>
    <x v="48"/>
    <x v="3"/>
    <n v="20"/>
    <n v="35"/>
    <n v="13"/>
    <n v="3"/>
    <n v="0"/>
    <n v="3"/>
    <n v="7"/>
  </r>
  <r>
    <x v="0"/>
    <x v="48"/>
    <x v="0"/>
    <n v="0"/>
    <n v="0"/>
    <n v="0"/>
    <n v="0"/>
    <n v="0"/>
    <n v="0"/>
    <n v="0"/>
  </r>
  <r>
    <x v="0"/>
    <x v="48"/>
    <x v="5"/>
    <n v="0"/>
    <n v="0"/>
    <n v="2"/>
    <n v="0"/>
    <n v="0"/>
    <n v="0"/>
    <n v="2"/>
  </r>
  <r>
    <x v="0"/>
    <x v="48"/>
    <x v="6"/>
    <n v="13"/>
    <n v="11"/>
    <n v="18"/>
    <n v="15"/>
    <n v="0"/>
    <n v="0"/>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A19E1-F815-48D1-845E-777276304F5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6:P34" firstHeaderRow="0" firstDataRow="1" firstDataCol="1" rowPageCount="2" colPageCount="1"/>
  <pivotFields count="10">
    <pivotField axis="axisPage" showAll="0">
      <items count="3">
        <item x="1"/>
        <item x="0"/>
        <item t="default"/>
      </items>
    </pivotField>
    <pivotField axis="axisPage" numFmtId="14" multipleItemSelectionAllowed="1"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Row" showAll="0">
      <items count="8">
        <item x="1"/>
        <item x="0"/>
        <item x="4"/>
        <item x="2"/>
        <item x="3"/>
        <item x="6"/>
        <item x="5"/>
        <item t="default"/>
      </items>
    </pivotField>
    <pivotField dataField="1" showAll="0"/>
    <pivotField dataField="1" showAll="0"/>
    <pivotField dataField="1" showAll="0"/>
    <pivotField showAll="0"/>
    <pivotField showAll="0"/>
    <pivotField showAll="0"/>
    <pivotField showAll="0"/>
  </pivotFields>
  <rowFields count="1">
    <field x="2"/>
  </rowFields>
  <rowItems count="8">
    <i>
      <x/>
    </i>
    <i>
      <x v="1"/>
    </i>
    <i>
      <x v="2"/>
    </i>
    <i>
      <x v="3"/>
    </i>
    <i>
      <x v="4"/>
    </i>
    <i>
      <x v="5"/>
    </i>
    <i>
      <x v="6"/>
    </i>
    <i t="grand">
      <x/>
    </i>
  </rowItems>
  <colFields count="1">
    <field x="-2"/>
  </colFields>
  <colItems count="3">
    <i>
      <x/>
    </i>
    <i i="1">
      <x v="1"/>
    </i>
    <i i="2">
      <x v="2"/>
    </i>
  </colItems>
  <pageFields count="2">
    <pageField fld="1" hier="-1"/>
    <pageField fld="0" hier="-1"/>
  </pageFields>
  <dataFields count="3">
    <dataField name="Sum of China" fld="3" baseField="0" baseItem="0"/>
    <dataField name="Sum of India" fld="4" baseField="0" baseItem="0"/>
    <dataField name="Sum of All ROW"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log.lucidtext.com/2026/03/05/eb-5-set-aside-visa-backlog-and-outlook-update-as-of-march-2026-set-aside-backlog-size-unreserved-visa-availability-infrastructure-visa-bulletin-outlook/" TargetMode="External"/><Relationship Id="rId2" Type="http://schemas.openxmlformats.org/officeDocument/2006/relationships/hyperlink" Target="https://www.dropbox.com/scl/fi/xkbkaox1hgepg6nn6v3l9/EB5-Backlog-Analysis.xlsx?rlkey=iwnaj84r7apd0matmr0vagkq2&amp;dl=0" TargetMode="External"/><Relationship Id="rId1" Type="http://schemas.openxmlformats.org/officeDocument/2006/relationships/hyperlink" Target="https://calendly.com/suzanne-lucid"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blog.lucidtext.com/eb-5-tim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iiusa.org/wp-content/uploads/2024/06/Insights-from-DOS-Recap-of-2024-IIUSA-EB-5-Forum-1.pdf" TargetMode="External"/><Relationship Id="rId2" Type="http://schemas.openxmlformats.org/officeDocument/2006/relationships/hyperlink" Target="https://goaiia.org/aiia-foia-series-pre-ria-i-526-data-as-of-july-2024/" TargetMode="External"/><Relationship Id="rId1" Type="http://schemas.openxmlformats.org/officeDocument/2006/relationships/hyperlink" Target="https://travel.state.gov/content/travel/en/legal/visa-law0/visa-statistics/"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aiia.org/aiia-foia-series-pre-ria-i-526-data-as-of-july-2024/"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echelonseaport.com/" TargetMode="External"/><Relationship Id="rId13" Type="http://schemas.openxmlformats.org/officeDocument/2006/relationships/hyperlink" Target="https://mp.weixin.qq.com/s/rJpO_SZq9p3CAfj9eB_rHA" TargetMode="External"/><Relationship Id="rId3" Type="http://schemas.openxmlformats.org/officeDocument/2006/relationships/hyperlink" Target="https://usa-rc.com/press-release/american-lending-center-wins-certification-of-public-infrastructure-projects-for-visa-set-asides/" TargetMode="External"/><Relationship Id="rId7" Type="http://schemas.openxmlformats.org/officeDocument/2006/relationships/hyperlink" Target="https://www.sec.gov/Archives/edgar/data/2043439/000168316824007960/xslFormDX01/primary_doc.xml" TargetMode="External"/><Relationship Id="rId12" Type="http://schemas.openxmlformats.org/officeDocument/2006/relationships/hyperlink" Target="http://www.e-min.co.kr/iminnews2020-2.asp?mnu_code=001&amp;board_code=001&amp;b_serl=5609" TargetMode="External"/><Relationship Id="rId2" Type="http://schemas.openxmlformats.org/officeDocument/2006/relationships/hyperlink" Target="https://www.eb5group.com/" TargetMode="External"/><Relationship Id="rId1" Type="http://schemas.openxmlformats.org/officeDocument/2006/relationships/hyperlink" Target="https://behringeb5.com/civic-i526e-approvals/" TargetMode="External"/><Relationship Id="rId6" Type="http://schemas.openxmlformats.org/officeDocument/2006/relationships/hyperlink" Target="https://www.linkedin.com/posts/activity-7422356548976480256-ui9A?utm_source=share&amp;utm_medium=member_desktop&amp;rcm=ACoAAAWNJowBHB6o6iZGhL9Y9yDp6S82Tv_mNzg" TargetMode="External"/><Relationship Id="rId11" Type="http://schemas.openxmlformats.org/officeDocument/2006/relationships/hyperlink" Target="https://www.eb5-project.com/bunkerhill" TargetMode="External"/><Relationship Id="rId5" Type="http://schemas.openxmlformats.org/officeDocument/2006/relationships/hyperlink" Target="https://behringeb5.com/civic-eb5-project-956f-approved-infrastructure-designation/" TargetMode="External"/><Relationship Id="rId15" Type="http://schemas.openxmlformats.org/officeDocument/2006/relationships/printerSettings" Target="../printerSettings/printerSettings5.bin"/><Relationship Id="rId10" Type="http://schemas.openxmlformats.org/officeDocument/2006/relationships/hyperlink" Target="http://www.e-min.co.kr/iminnews2020-2.asp?mnu_code=001&amp;board_code=001&amp;b_serl=5631" TargetMode="External"/><Relationship Id="rId4" Type="http://schemas.openxmlformats.org/officeDocument/2006/relationships/hyperlink" Target="https://visaeb-5.com/project/grand-central-rising/" TargetMode="External"/><Relationship Id="rId9" Type="http://schemas.openxmlformats.org/officeDocument/2006/relationships/hyperlink" Target="https://www.eb5-project.com/sfdowns" TargetMode="External"/><Relationship Id="rId14" Type="http://schemas.openxmlformats.org/officeDocument/2006/relationships/hyperlink" Target="https://www.eb5-project.com/bunkerhill2"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goaiia.org/aiia-foia-series-updated-i-526e-inventory-statistics-for-january-2025/" TargetMode="External"/><Relationship Id="rId2" Type="http://schemas.openxmlformats.org/officeDocument/2006/relationships/hyperlink" Target="http://www.uscis.gov/tools/reports-studies/immigration-forms-data" TargetMode="External"/><Relationship Id="rId1" Type="http://schemas.openxmlformats.org/officeDocument/2006/relationships/hyperlink" Target="https://travel.state.gov/content/travel/en/legal/visa-law0/visa-statistics/immigrant-visa-statistics/monthly-immigrant-visa-issuances.html" TargetMode="External"/><Relationship Id="rId6" Type="http://schemas.openxmlformats.org/officeDocument/2006/relationships/drawing" Target="../drawings/drawing5.xml"/><Relationship Id="rId5" Type="http://schemas.openxmlformats.org/officeDocument/2006/relationships/printerSettings" Target="../printerSettings/printerSettings6.bin"/><Relationship Id="rId4" Type="http://schemas.openxmlformats.org/officeDocument/2006/relationships/hyperlink" Target="https://goaiia.org/blog/aiia-foia-series-updated-i-526e-inventory-statistics-for-july-2025/"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hyperlink" Target="https://www.canamenterprises.com/2025/08/13/white-paper-2025-visa-backlog/"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goaiia.org/aiia-foia-series-pre-ria-i-526-data-as-of-july-2024/"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hyperlink" Target="https://ohss.dhs.gov/topics/immigration/yearbook" TargetMode="External"/><Relationship Id="rId2" Type="http://schemas.openxmlformats.org/officeDocument/2006/relationships/hyperlink" Target="https://iiusa.org/wp-content/uploads/2020/11/Virutal-Industry-Forum-Visa-Update.pdf" TargetMode="External"/><Relationship Id="rId1" Type="http://schemas.openxmlformats.org/officeDocument/2006/relationships/hyperlink" Target="https://ohss.dhs.gov/topics/immigration/yearbook-immigration-statistics/yearbook-2023" TargetMode="External"/><Relationship Id="rId5" Type="http://schemas.openxmlformats.org/officeDocument/2006/relationships/drawing" Target="../drawings/drawing7.xml"/><Relationship Id="rId4" Type="http://schemas.openxmlformats.org/officeDocument/2006/relationships/hyperlink" Target="https://iiusa.org/wp-content/uploads/2024/05/3_EB-5-IIUSA-Conference-May-2024.pdf"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uscis.gov/sites/default/files/document/data/i526_i526E_r_cob_pref_fy2026_q2_v1.xlsx" TargetMode="External"/><Relationship Id="rId2" Type="http://schemas.openxmlformats.org/officeDocument/2006/relationships/hyperlink" Target="https://www.uscis.gov/sites/default/files/document/reports/i526_i526E_r_cob_pref_fy2026_q1_v1.xlsx" TargetMode="External"/><Relationship Id="rId1" Type="http://schemas.openxmlformats.org/officeDocument/2006/relationships/pivotTable" Target="../pivotTables/pivotTable1.xml"/><Relationship Id="rId4"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3" Type="http://schemas.openxmlformats.org/officeDocument/2006/relationships/hyperlink" Target="https://travel.state.gov/content/dam/visas/Statistics/Immigrant-Statistics/WaitingList/WaitingListItem_2022.pdf" TargetMode="External"/><Relationship Id="rId18" Type="http://schemas.openxmlformats.org/officeDocument/2006/relationships/hyperlink" Target="https://iiusa.org/wp-content/uploads/2018/11/EB-5-AILA.IIUSA-Visa-numbers-panel-for-EB-5-Conference-October-2018.pdf" TargetMode="External"/><Relationship Id="rId26" Type="http://schemas.openxmlformats.org/officeDocument/2006/relationships/hyperlink" Target="https://iiusa.org/wp-content/uploads/2024/06/Insights-from-DOS-Recap-of-2024-IIUSA-EB-5-Forum-1.pdf" TargetMode="External"/><Relationship Id="rId39" Type="http://schemas.openxmlformats.org/officeDocument/2006/relationships/hyperlink" Target="https://goaiia.org/aiia-foia-series-pre-ria-i-526-data-as-of-july-2024/" TargetMode="External"/><Relationship Id="rId21" Type="http://schemas.openxmlformats.org/officeDocument/2006/relationships/hyperlink" Target="https://www.gao.gov/products/gao-23-106452" TargetMode="External"/><Relationship Id="rId34" Type="http://schemas.openxmlformats.org/officeDocument/2006/relationships/hyperlink" Target="https://iiusa.org/wp-content/uploads/2024/05/3_EB-5-IIUSA-Conference-May-2024.pdf" TargetMode="External"/><Relationship Id="rId42" Type="http://schemas.openxmlformats.org/officeDocument/2006/relationships/printerSettings" Target="../printerSettings/printerSettings11.bin"/><Relationship Id="rId7" Type="http://schemas.openxmlformats.org/officeDocument/2006/relationships/hyperlink" Target="https://travel.state.gov/content/dam/visas/Statistics/Immigrant-Statistics/WaitingList/WaitingListItem_2021vF.pdf" TargetMode="External"/><Relationship Id="rId2" Type="http://schemas.openxmlformats.org/officeDocument/2006/relationships/hyperlink" Target="https://travel.state.gov/content/dam/visas/Statistics/Immigrant-Statistics/WaitingListItem.pdf" TargetMode="External"/><Relationship Id="rId16" Type="http://schemas.openxmlformats.org/officeDocument/2006/relationships/hyperlink" Target="https://iiusa.org/wp-content/uploads/2024/05/3_EB-5-IIUSA-Conference-May-2024.pdf" TargetMode="External"/><Relationship Id="rId20" Type="http://schemas.openxmlformats.org/officeDocument/2006/relationships/hyperlink" Target="https://iiusa.org/wp-content/uploads/2022/04/Session-4b_Numbers-Talk-What-the-Latest-EB-5-Data-is-Telling-Us.pdf" TargetMode="External"/><Relationship Id="rId29" Type="http://schemas.openxmlformats.org/officeDocument/2006/relationships/hyperlink" Target="https://iiusa.org/wp-content/uploads/2022/04/IIUSA-RCBJ_April2022-update.pdf" TargetMode="External"/><Relationship Id="rId41" Type="http://schemas.openxmlformats.org/officeDocument/2006/relationships/hyperlink" Target="https://ohss.dhs.gov/topics/immigration/yearbook-immigration-statistics/yearbook-2023" TargetMode="External"/><Relationship Id="rId1" Type="http://schemas.openxmlformats.org/officeDocument/2006/relationships/hyperlink" Target="https://www.uscis.gov/sites/default/files/USCIS/Resources/Reports%20and%20Studies/Immigration%20Forms%20Data/Employment-based/EB_I140_I360_I526_performancedata_fy2020_Q1_Q2.pdf" TargetMode="External"/><Relationship Id="rId6" Type="http://schemas.openxmlformats.org/officeDocument/2006/relationships/hyperlink" Target="https://travel.state.gov/content/dam/visas/Statistics/Immigrant-Statistics/WaitingList/WaitingListItem_2020_vF.pdf" TargetMode="External"/><Relationship Id="rId11" Type="http://schemas.openxmlformats.org/officeDocument/2006/relationships/hyperlink" Target="https://www.dropbox.com/s/3phmvpgoc3cfff7/Lazicki%20Dec%202020%20ResponsiveRecord_1_of_1.pdf?dl=0" TargetMode="External"/><Relationship Id="rId24" Type="http://schemas.openxmlformats.org/officeDocument/2006/relationships/hyperlink" Target="https://www.uscis.gov/sites/default/files/document/data/eb_inventory_april_2024_071924.xlsx" TargetMode="External"/><Relationship Id="rId32" Type="http://schemas.openxmlformats.org/officeDocument/2006/relationships/hyperlink" Target="https://www.uscis.gov/sites/default/files/files/nativedocuments/I-526_Approvals_Denials_and_Receipts_for_Q1_of_FY19.pdf" TargetMode="External"/><Relationship Id="rId37" Type="http://schemas.openxmlformats.org/officeDocument/2006/relationships/hyperlink" Target="https://iiusa.org/wp-content/uploads/2024/05/3_EB-5-IIUSA-Conference-May-2024.pdf" TargetMode="External"/><Relationship Id="rId40" Type="http://schemas.openxmlformats.org/officeDocument/2006/relationships/hyperlink" Target="https://travel.state.gov/content/travel/en/legal/visa-law0/visa-statistics/annual-reports.html" TargetMode="External"/><Relationship Id="rId5" Type="http://schemas.openxmlformats.org/officeDocument/2006/relationships/hyperlink" Target="https://travel.state.gov/content/dam/visas/Statistics/Immigrant-Statistics/WaitingList/WaitingListItem_2019.pdf" TargetMode="External"/><Relationship Id="rId15" Type="http://schemas.openxmlformats.org/officeDocument/2006/relationships/hyperlink" Target="https://www.uscis.gov/sites/default/files/document/data/EB_I140_I360_I526_performancedata_fy2022_Q1_Q2.pdf" TargetMode="External"/><Relationship Id="rId23" Type="http://schemas.openxmlformats.org/officeDocument/2006/relationships/hyperlink" Target="https://iiusa.org/wp-content/uploads/2024/06/Insights-from-DOS-Recap-of-2024-IIUSA-EB-5-Forum.pdf" TargetMode="External"/><Relationship Id="rId28" Type="http://schemas.openxmlformats.org/officeDocument/2006/relationships/hyperlink" Target="https://www.galati.law/post/new-data-i-526-receipts-by-month-by-investor-country-of-birth-oct-2019-oct-2020" TargetMode="External"/><Relationship Id="rId36" Type="http://schemas.openxmlformats.org/officeDocument/2006/relationships/hyperlink" Target="https://ohss.dhs.gov/topics/immigration/yearbook" TargetMode="External"/><Relationship Id="rId10" Type="http://schemas.openxmlformats.org/officeDocument/2006/relationships/hyperlink" Target="http://www.uscis.gov/tools/reports-studies/immigration-forms-data" TargetMode="External"/><Relationship Id="rId19" Type="http://schemas.openxmlformats.org/officeDocument/2006/relationships/hyperlink" Target="https://iiusa.org/wp-content/uploads/2022/08/IIUSA-2019-EB-5-Industry-Forum_Visa-Update-w-Charlie-Oppenheim-and-Roundtable-Discussion.pdf" TargetMode="External"/><Relationship Id="rId31" Type="http://schemas.openxmlformats.org/officeDocument/2006/relationships/hyperlink" Target="https://iiusa.org/wp-content/uploads/2017/08/A-New-Lens-What-the-Lastest-Data-Tells-Us-about-Raising-EB-5-Captial-in-an-Increasingly-Challenging-Marketplace.pdf" TargetMode="External"/><Relationship Id="rId4" Type="http://schemas.openxmlformats.org/officeDocument/2006/relationships/hyperlink" Target="https://travel.state.gov/content/dam/visas/Statistics/Immigrant-Statistics/WaitingList/WaitingListItem_2018.pdf" TargetMode="External"/><Relationship Id="rId9" Type="http://schemas.openxmlformats.org/officeDocument/2006/relationships/hyperlink" Target="https://www.uscis.gov/sites/default/files/document/foia/I-485_inventory_as_of_October_2019.pdf" TargetMode="External"/><Relationship Id="rId14" Type="http://schemas.openxmlformats.org/officeDocument/2006/relationships/hyperlink" Target="https://travel.state.gov/content/dam/visas/Statistics/Immigrant-Statistics/WaitingList/WaitingListItem_2023_vF.pdf" TargetMode="External"/><Relationship Id="rId22" Type="http://schemas.openxmlformats.org/officeDocument/2006/relationships/hyperlink" Target="https://iiusa.org/wp-content/uploads/2024/05/3_EB-5-IIUSA-Conference-May-2024.pdf" TargetMode="External"/><Relationship Id="rId27" Type="http://schemas.openxmlformats.org/officeDocument/2006/relationships/hyperlink" Target="https://www.uscis.gov/sites/default/files/document/data/I-526_accepted_petitions_for_India_in_the_months_October_2018-May_2019.pdf" TargetMode="External"/><Relationship Id="rId30" Type="http://schemas.openxmlformats.org/officeDocument/2006/relationships/hyperlink" Target="https://iiusa.org/blog/analyzing-form-i-526-statistics-by-investors-country-of-chargeability-for-fiscal-year-2017-what-is-new-and-what-it-tells-us/" TargetMode="External"/><Relationship Id="rId35" Type="http://schemas.openxmlformats.org/officeDocument/2006/relationships/hyperlink" Target="https://iiusa.org/wp-content/uploads/2024/06/Insights-from-DOS-Recap-of-2024-IIUSA-EB-5-Forum.pdf" TargetMode="External"/><Relationship Id="rId43" Type="http://schemas.openxmlformats.org/officeDocument/2006/relationships/drawing" Target="../drawings/drawing8.xml"/><Relationship Id="rId8" Type="http://schemas.openxmlformats.org/officeDocument/2006/relationships/hyperlink" Target="https://iiusa.org/wp-content/uploads/2022/04/Session-4b_Numbers-Talk-What-the-Latest-EB-5-Data-is-Telling-Us.pdf" TargetMode="External"/><Relationship Id="rId3" Type="http://schemas.openxmlformats.org/officeDocument/2006/relationships/hyperlink" Target="https://travel.state.gov/content/dam/visas/Statistics/Immigrant-Statistics/WaitingList/WaitingListItem_2017.pdf" TargetMode="External"/><Relationship Id="rId12" Type="http://schemas.openxmlformats.org/officeDocument/2006/relationships/hyperlink" Target="https://travel.state.gov/content/travel/en/legal/visa-law0/visa-statistics/annual-reports.html" TargetMode="External"/><Relationship Id="rId17" Type="http://schemas.openxmlformats.org/officeDocument/2006/relationships/hyperlink" Target="https://iiusa.org/wp-content/uploads/2020/11/Virutal-Industry-Forum-Visa-Update.pdf" TargetMode="External"/><Relationship Id="rId25" Type="http://schemas.openxmlformats.org/officeDocument/2006/relationships/hyperlink" Target="https://iiusa.org/wp-content/uploads/2024/05/3_EB-5-IIUSA-Conference-May-2024.pdf" TargetMode="External"/><Relationship Id="rId33" Type="http://schemas.openxmlformats.org/officeDocument/2006/relationships/hyperlink" Target="https://iiusa.org/blog/iiusa-new-data-analysis-on-the-latest-i-526e-and-i-526-filings-adjudications-and-withdrawals-country-specific-trends-in-eb-5-demand-investment-preferences-case-processing-and-reserved-visa-wait/" TargetMode="External"/><Relationship Id="rId38" Type="http://schemas.openxmlformats.org/officeDocument/2006/relationships/hyperlink" Target="https://iiusa.org/wp-content/uploads/2024/06/Insights-from-DOS-Recap-of-2024-IIUSA-EB-5-Forum-1.pdf"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travel.state.gov/content/travel/en/legal/visa-law0/visa-bulletin.html" TargetMode="External"/><Relationship Id="rId1" Type="http://schemas.openxmlformats.org/officeDocument/2006/relationships/hyperlink" Target="https://travel.state.gov/content/travel/en/legal/visa-law0/visa-bulletin/2021/visa-bulletin-for-april-2021.html"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9A544-4D8C-4D22-9B11-1CEC72102CFB}">
  <dimension ref="B1:K37"/>
  <sheetViews>
    <sheetView tabSelected="1" zoomScale="142" zoomScaleNormal="142" workbookViewId="0"/>
  </sheetViews>
  <sheetFormatPr defaultRowHeight="14.25"/>
  <cols>
    <col min="1" max="1" width="3" customWidth="1"/>
    <col min="2" max="2" width="3.25" customWidth="1"/>
    <col min="3" max="3" width="16.5" customWidth="1"/>
    <col min="4" max="4" width="11.125" customWidth="1"/>
    <col min="10" max="10" width="7.875" customWidth="1"/>
    <col min="11" max="11" width="2.875" customWidth="1"/>
  </cols>
  <sheetData>
    <row r="1" spans="2:11">
      <c r="B1" s="14"/>
      <c r="C1" s="15"/>
      <c r="D1" s="15"/>
      <c r="E1" s="15"/>
      <c r="F1" s="15"/>
      <c r="G1" s="15"/>
      <c r="H1" s="15"/>
      <c r="I1" s="15"/>
      <c r="J1" s="15"/>
      <c r="K1" s="16"/>
    </row>
    <row r="2" spans="2:11" ht="15">
      <c r="B2" s="17"/>
      <c r="C2" s="18"/>
      <c r="D2" s="18"/>
      <c r="E2" s="18"/>
      <c r="F2" s="18"/>
      <c r="G2" s="18"/>
      <c r="H2" s="18"/>
      <c r="I2" s="20"/>
      <c r="J2" s="18"/>
      <c r="K2" s="19"/>
    </row>
    <row r="3" spans="2:11" ht="15">
      <c r="B3" s="17"/>
      <c r="C3" s="18"/>
      <c r="D3" s="18"/>
      <c r="E3" s="18"/>
      <c r="F3" s="18"/>
      <c r="G3" s="18"/>
      <c r="H3" s="18"/>
      <c r="I3" s="20" t="s">
        <v>18</v>
      </c>
      <c r="J3" s="18"/>
      <c r="K3" s="19"/>
    </row>
    <row r="4" spans="2:11">
      <c r="B4" s="17"/>
      <c r="C4" s="18"/>
      <c r="D4" s="18"/>
      <c r="E4" s="18"/>
      <c r="F4" s="18"/>
      <c r="G4" s="18"/>
      <c r="H4" s="18"/>
      <c r="I4" s="18"/>
      <c r="J4" s="18"/>
      <c r="K4" s="19"/>
    </row>
    <row r="5" spans="2:11">
      <c r="B5" s="17"/>
      <c r="C5" s="18"/>
      <c r="D5" s="18"/>
      <c r="E5" s="18"/>
      <c r="F5" s="18"/>
      <c r="G5" s="18"/>
      <c r="H5" s="18"/>
      <c r="I5" s="18"/>
      <c r="J5" s="18"/>
      <c r="K5" s="19"/>
    </row>
    <row r="6" spans="2:11" ht="15">
      <c r="B6" s="580"/>
      <c r="C6" s="808"/>
      <c r="D6" s="581"/>
      <c r="E6" s="581"/>
      <c r="F6" s="581"/>
      <c r="G6" s="581"/>
      <c r="H6" s="581"/>
      <c r="I6" s="581"/>
      <c r="J6" s="581"/>
      <c r="K6" s="21"/>
    </row>
    <row r="7" spans="2:11" ht="15">
      <c r="B7" s="580"/>
      <c r="C7" s="582" t="s">
        <v>367</v>
      </c>
      <c r="D7" s="581"/>
      <c r="E7" s="581"/>
      <c r="F7" s="581"/>
      <c r="G7" s="581"/>
      <c r="H7" s="581"/>
      <c r="I7" s="581"/>
      <c r="J7" s="581"/>
      <c r="K7" s="21"/>
    </row>
    <row r="8" spans="2:11" ht="15">
      <c r="B8" s="580"/>
      <c r="C8" s="581"/>
      <c r="D8" s="581"/>
      <c r="E8" s="581"/>
      <c r="F8" s="581"/>
      <c r="G8" s="581"/>
      <c r="H8" s="581"/>
      <c r="I8" s="581"/>
      <c r="J8" s="581"/>
      <c r="K8" s="21"/>
    </row>
    <row r="9" spans="2:11" ht="15">
      <c r="B9" s="580"/>
      <c r="C9" s="581" t="s">
        <v>33</v>
      </c>
      <c r="D9" s="583">
        <v>46238</v>
      </c>
      <c r="E9" s="581"/>
      <c r="F9" s="581"/>
      <c r="G9" s="581"/>
      <c r="H9" s="581"/>
      <c r="I9" s="581"/>
      <c r="J9" s="581"/>
      <c r="K9" s="21"/>
    </row>
    <row r="10" spans="2:11" ht="15">
      <c r="B10" s="580"/>
      <c r="C10" s="581" t="s">
        <v>123</v>
      </c>
      <c r="D10" s="609" t="s">
        <v>125</v>
      </c>
      <c r="E10" s="238"/>
      <c r="F10" s="581"/>
      <c r="G10" s="581"/>
      <c r="H10" s="581"/>
      <c r="I10" s="581"/>
      <c r="J10" s="581"/>
      <c r="K10" s="96" t="s">
        <v>126</v>
      </c>
    </row>
    <row r="11" spans="2:11" ht="15">
      <c r="B11" s="580"/>
      <c r="C11" s="581"/>
      <c r="D11" s="775" t="s">
        <v>1012</v>
      </c>
      <c r="E11" s="581"/>
      <c r="F11" s="581"/>
      <c r="G11" s="581"/>
      <c r="H11" s="581"/>
      <c r="I11" s="581"/>
      <c r="J11" s="581"/>
      <c r="K11" s="21"/>
    </row>
    <row r="12" spans="2:11" ht="15">
      <c r="B12" s="580"/>
      <c r="C12" s="736" t="s">
        <v>34</v>
      </c>
      <c r="D12" s="736"/>
      <c r="E12" s="736"/>
      <c r="F12" s="732"/>
      <c r="G12" s="732"/>
      <c r="H12" s="732"/>
      <c r="I12" s="732"/>
      <c r="J12" s="732"/>
      <c r="K12" s="21"/>
    </row>
    <row r="13" spans="2:11" ht="15">
      <c r="B13" s="580"/>
      <c r="C13" s="731" t="s">
        <v>804</v>
      </c>
      <c r="D13" s="732" t="s">
        <v>805</v>
      </c>
      <c r="E13" s="732"/>
      <c r="F13" s="732"/>
      <c r="G13" s="732"/>
      <c r="H13" s="732"/>
      <c r="I13" s="732"/>
      <c r="J13" s="732"/>
      <c r="K13" s="21"/>
    </row>
    <row r="14" spans="2:11" ht="30" customHeight="1">
      <c r="B14" s="580"/>
      <c r="C14" s="729" t="s">
        <v>977</v>
      </c>
      <c r="D14" s="895" t="s">
        <v>1134</v>
      </c>
      <c r="E14" s="895"/>
      <c r="F14" s="895"/>
      <c r="G14" s="895"/>
      <c r="H14" s="895"/>
      <c r="I14" s="895"/>
      <c r="J14" s="895"/>
      <c r="K14" s="21"/>
    </row>
    <row r="15" spans="2:11" ht="16.5" customHeight="1">
      <c r="B15" s="580"/>
      <c r="C15" s="729" t="s">
        <v>0</v>
      </c>
      <c r="D15" s="734" t="s">
        <v>979</v>
      </c>
      <c r="E15" s="730"/>
      <c r="F15" s="730"/>
      <c r="G15" s="730"/>
      <c r="H15" s="730"/>
      <c r="I15" s="730"/>
      <c r="J15" s="730"/>
      <c r="K15" s="21"/>
    </row>
    <row r="16" spans="2:11" ht="16.5" customHeight="1">
      <c r="B16" s="580"/>
      <c r="C16" s="729" t="s">
        <v>978</v>
      </c>
      <c r="D16" s="734" t="s">
        <v>980</v>
      </c>
      <c r="E16" s="730"/>
      <c r="F16" s="730"/>
      <c r="G16" s="730"/>
      <c r="H16" s="730"/>
      <c r="I16" s="730"/>
      <c r="J16" s="730"/>
      <c r="K16" s="21"/>
    </row>
    <row r="17" spans="2:11" ht="27.75" customHeight="1">
      <c r="B17" s="580"/>
      <c r="C17" s="733" t="s">
        <v>166</v>
      </c>
      <c r="D17" s="895" t="s">
        <v>806</v>
      </c>
      <c r="E17" s="895"/>
      <c r="F17" s="895"/>
      <c r="G17" s="895"/>
      <c r="H17" s="895"/>
      <c r="I17" s="895"/>
      <c r="J17" s="895"/>
      <c r="K17" s="21"/>
    </row>
    <row r="18" spans="2:11" ht="19.149999999999999" customHeight="1">
      <c r="B18" s="580"/>
      <c r="C18" s="733" t="s">
        <v>369</v>
      </c>
      <c r="D18" s="896" t="s">
        <v>370</v>
      </c>
      <c r="E18" s="896"/>
      <c r="F18" s="896"/>
      <c r="G18" s="896"/>
      <c r="H18" s="896"/>
      <c r="I18" s="896"/>
      <c r="J18" s="896"/>
      <c r="K18" s="21"/>
    </row>
    <row r="19" spans="2:11" ht="16.149999999999999" customHeight="1">
      <c r="B19" s="580"/>
      <c r="C19" s="735" t="s">
        <v>701</v>
      </c>
      <c r="D19" s="896" t="s">
        <v>706</v>
      </c>
      <c r="E19" s="896"/>
      <c r="F19" s="896"/>
      <c r="G19" s="896"/>
      <c r="H19" s="896"/>
      <c r="I19" s="896"/>
      <c r="J19" s="896"/>
      <c r="K19" s="21"/>
    </row>
    <row r="20" spans="2:11" ht="16.149999999999999" customHeight="1">
      <c r="B20" s="580"/>
      <c r="C20" s="733" t="s">
        <v>368</v>
      </c>
      <c r="D20" s="734" t="s">
        <v>371</v>
      </c>
      <c r="E20" s="734"/>
      <c r="F20" s="734"/>
      <c r="G20" s="734"/>
      <c r="H20" s="734"/>
      <c r="I20" s="734"/>
      <c r="J20" s="734"/>
      <c r="K20" s="21"/>
    </row>
    <row r="21" spans="2:11" ht="13.15" customHeight="1">
      <c r="B21" s="580"/>
      <c r="C21" s="733" t="s">
        <v>146</v>
      </c>
      <c r="D21" s="734" t="s">
        <v>147</v>
      </c>
      <c r="E21" s="730"/>
      <c r="F21" s="730"/>
      <c r="G21" s="730"/>
      <c r="H21" s="730"/>
      <c r="I21" s="730"/>
      <c r="J21" s="730"/>
      <c r="K21" s="21"/>
    </row>
    <row r="22" spans="2:11" ht="15">
      <c r="B22" s="580"/>
      <c r="C22" s="588"/>
      <c r="D22" s="588"/>
      <c r="E22" s="588"/>
      <c r="F22" s="588"/>
      <c r="G22" s="588"/>
      <c r="H22" s="588"/>
      <c r="I22" s="588"/>
      <c r="J22" s="588"/>
      <c r="K22" s="21"/>
    </row>
    <row r="23" spans="2:11" ht="15">
      <c r="B23" s="580"/>
      <c r="C23" s="737" t="s">
        <v>148</v>
      </c>
      <c r="D23" s="738"/>
      <c r="E23" s="738"/>
      <c r="F23" s="588"/>
      <c r="G23" s="588"/>
      <c r="H23" s="588"/>
      <c r="I23" s="588"/>
      <c r="J23" s="588"/>
      <c r="K23" s="21"/>
    </row>
    <row r="24" spans="2:11" ht="15">
      <c r="B24" s="580"/>
      <c r="C24" s="775" t="s">
        <v>981</v>
      </c>
      <c r="D24" s="588"/>
      <c r="E24" s="588"/>
      <c r="F24" s="588"/>
      <c r="G24" s="588"/>
      <c r="H24" s="588"/>
      <c r="I24" s="588"/>
      <c r="J24" s="588"/>
      <c r="K24" s="21" t="s">
        <v>126</v>
      </c>
    </row>
    <row r="25" spans="2:11" ht="9.75" customHeight="1">
      <c r="B25" s="580"/>
      <c r="C25" s="588"/>
      <c r="D25" s="588"/>
      <c r="E25" s="588"/>
      <c r="F25" s="588"/>
      <c r="G25" s="588"/>
      <c r="H25" s="588"/>
      <c r="I25" s="588"/>
      <c r="J25" s="588"/>
      <c r="K25" s="21"/>
    </row>
    <row r="26" spans="2:11" ht="15">
      <c r="B26" s="580"/>
      <c r="C26" s="584" t="s">
        <v>124</v>
      </c>
      <c r="D26" s="587"/>
      <c r="E26" s="587"/>
      <c r="F26" s="589"/>
      <c r="G26" s="589"/>
      <c r="H26" s="589"/>
      <c r="I26" s="589"/>
      <c r="J26" s="589"/>
      <c r="K26" s="21"/>
    </row>
    <row r="27" spans="2:11" ht="15">
      <c r="B27" s="580"/>
      <c r="C27" s="586" t="s">
        <v>1074</v>
      </c>
      <c r="D27" s="585"/>
      <c r="E27" s="581"/>
      <c r="F27" s="589"/>
      <c r="G27" s="589"/>
      <c r="H27" s="589"/>
      <c r="I27" s="589"/>
      <c r="J27" s="589"/>
      <c r="K27" s="21"/>
    </row>
    <row r="28" spans="2:11" ht="25.5">
      <c r="B28" s="580"/>
      <c r="C28" s="813" t="s">
        <v>1073</v>
      </c>
      <c r="D28" s="812"/>
      <c r="E28" s="812"/>
      <c r="F28" s="812"/>
      <c r="G28" s="812"/>
      <c r="H28" s="812"/>
      <c r="I28" s="812"/>
      <c r="J28" s="812"/>
      <c r="K28" s="21"/>
    </row>
    <row r="29" spans="2:11" ht="15">
      <c r="B29" s="580"/>
      <c r="C29" s="586"/>
      <c r="D29" s="836" t="s">
        <v>1120</v>
      </c>
      <c r="E29" s="585"/>
      <c r="F29" s="585"/>
      <c r="G29" s="585"/>
      <c r="H29" s="585"/>
      <c r="I29" s="585"/>
      <c r="J29" s="585"/>
      <c r="K29" s="21"/>
    </row>
    <row r="30" spans="2:11" ht="3" customHeight="1">
      <c r="B30" s="580"/>
      <c r="C30" s="586"/>
      <c r="D30" s="590"/>
      <c r="E30" s="585"/>
      <c r="F30" s="585"/>
      <c r="G30" s="585"/>
      <c r="H30" s="585"/>
      <c r="I30" s="585"/>
      <c r="J30" s="585"/>
      <c r="K30" s="21"/>
    </row>
    <row r="31" spans="2:11" ht="15">
      <c r="B31" s="580"/>
      <c r="C31" s="737" t="s">
        <v>35</v>
      </c>
      <c r="D31" s="738"/>
      <c r="E31" s="738"/>
      <c r="F31" s="588"/>
      <c r="G31" s="588"/>
      <c r="H31" s="588"/>
      <c r="I31" s="588"/>
      <c r="J31" s="588"/>
      <c r="K31" s="21"/>
    </row>
    <row r="32" spans="2:11" ht="15">
      <c r="B32" s="580"/>
      <c r="C32" s="894" t="s">
        <v>755</v>
      </c>
      <c r="D32" s="894"/>
      <c r="E32" s="894"/>
      <c r="F32" s="894"/>
      <c r="G32" s="894"/>
      <c r="H32" s="894"/>
      <c r="I32" s="894"/>
      <c r="J32" s="894"/>
      <c r="K32" s="21"/>
    </row>
    <row r="33" spans="2:11" ht="15">
      <c r="B33" s="580"/>
      <c r="C33" s="894"/>
      <c r="D33" s="894"/>
      <c r="E33" s="894"/>
      <c r="F33" s="894"/>
      <c r="G33" s="894"/>
      <c r="H33" s="894"/>
      <c r="I33" s="894"/>
      <c r="J33" s="894"/>
      <c r="K33" s="21"/>
    </row>
    <row r="34" spans="2:11" ht="15">
      <c r="B34" s="580"/>
      <c r="C34" s="894"/>
      <c r="D34" s="894"/>
      <c r="E34" s="894"/>
      <c r="F34" s="894"/>
      <c r="G34" s="894"/>
      <c r="H34" s="894"/>
      <c r="I34" s="894"/>
      <c r="J34" s="894"/>
      <c r="K34" s="21"/>
    </row>
    <row r="35" spans="2:11" ht="15">
      <c r="B35" s="580"/>
      <c r="C35" s="894"/>
      <c r="D35" s="894"/>
      <c r="E35" s="894"/>
      <c r="F35" s="894"/>
      <c r="G35" s="894"/>
      <c r="H35" s="894"/>
      <c r="I35" s="894"/>
      <c r="J35" s="894"/>
      <c r="K35" s="21"/>
    </row>
    <row r="36" spans="2:11" ht="15">
      <c r="B36" s="580"/>
      <c r="C36" s="894"/>
      <c r="D36" s="894"/>
      <c r="E36" s="894"/>
      <c r="F36" s="894"/>
      <c r="G36" s="894"/>
      <c r="H36" s="894"/>
      <c r="I36" s="894"/>
      <c r="J36" s="894"/>
      <c r="K36" s="21"/>
    </row>
    <row r="37" spans="2:11" ht="15.75" thickBot="1">
      <c r="B37" s="591"/>
      <c r="C37" s="592"/>
      <c r="D37" s="592"/>
      <c r="E37" s="592"/>
      <c r="F37" s="592"/>
      <c r="G37" s="592"/>
      <c r="H37" s="592"/>
      <c r="I37" s="592"/>
      <c r="J37" s="592"/>
      <c r="K37" s="22"/>
    </row>
  </sheetData>
  <mergeCells count="5">
    <mergeCell ref="C32:J36"/>
    <mergeCell ref="D14:J14"/>
    <mergeCell ref="D19:J19"/>
    <mergeCell ref="D17:J17"/>
    <mergeCell ref="D18:J18"/>
  </mergeCells>
  <phoneticPr fontId="24" type="noConversion"/>
  <hyperlinks>
    <hyperlink ref="D29" r:id="rId1" xr:uid="{33608A9E-1365-4C4D-AF77-8B6EF7F116BD}"/>
    <hyperlink ref="D10" r:id="rId2" xr:uid="{890824F7-8562-417D-8168-057739BE1C87}"/>
    <hyperlink ref="C21" location="Notes!A1" display="Notes" xr:uid="{71F40787-9DF1-424C-BF07-3E44FFB34681}"/>
    <hyperlink ref="C17" location="Progress!A1" display="Progress" xr:uid="{DA114BF5-ED50-489F-AA5A-B7274445E53E}"/>
    <hyperlink ref="C18" location="'Pre-RIA Data'!A1" display="Pre-RIA Data" xr:uid="{C0AD8CA8-B580-4188-A0E4-1AE7E924C474}"/>
    <hyperlink ref="C20" location="'VB Log'!A1" display="VB Log" xr:uid="{C70FA26C-3AF4-496C-9D9D-34677D6FA48B}"/>
    <hyperlink ref="C19" location="'Post-RIA'!A1" display="Post-RIA Data" xr:uid="{C5D8DAB4-59C8-4C4D-8B7C-085E60409E20}"/>
    <hyperlink ref="C13" location="Orientation!A1" display="Orientation" xr:uid="{0CE1DE6E-2463-4640-BD95-8029F79C679B}"/>
    <hyperlink ref="C14" location="Summary1!A1" display="Summary 1" xr:uid="{CAED72B4-0B6C-4659-A1BE-FCC3AA9E0E13}"/>
    <hyperlink ref="C15" location="Unreserved!A1" display="Unreserved" xr:uid="{D5B65225-040E-430F-88B5-10AB5E84D098}"/>
    <hyperlink ref="C16" location="Infra!A1" display="Infra" xr:uid="{5D3985A9-99B5-4184-9995-34EFE9E1BA32}"/>
    <hyperlink ref="C24" r:id="rId3" xr:uid="{4F4B5677-D7B7-436C-8D95-35F8DDAB2AD5}"/>
    <hyperlink ref="D11" r:id="rId4" xr:uid="{3827EBF1-42D9-4327-8D19-D5A77F490D38}"/>
  </hyperlinks>
  <pageMargins left="0.45" right="0.45" top="0.5" bottom="0.5" header="0.3" footer="0.3"/>
  <pageSetup scale="98"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8D5D8-2401-4025-9B67-5AFEF8525EB8}">
  <dimension ref="A1:D42"/>
  <sheetViews>
    <sheetView workbookViewId="0"/>
  </sheetViews>
  <sheetFormatPr defaultRowHeight="15"/>
  <cols>
    <col min="1" max="1" width="4.25" style="598" customWidth="1"/>
    <col min="2" max="2" width="9" style="598"/>
    <col min="3" max="3" width="5.875" style="598" customWidth="1"/>
    <col min="4" max="16384" width="9" style="598"/>
  </cols>
  <sheetData>
    <row r="1" spans="1:3" ht="23.25">
      <c r="A1" s="597" t="s">
        <v>780</v>
      </c>
    </row>
    <row r="14" spans="1:3" ht="23.25">
      <c r="A14" s="597" t="s">
        <v>781</v>
      </c>
    </row>
    <row r="15" spans="1:3">
      <c r="B15" s="598" t="s">
        <v>782</v>
      </c>
    </row>
    <row r="16" spans="1:3">
      <c r="C16" s="598" t="s">
        <v>807</v>
      </c>
    </row>
    <row r="17" spans="1:4">
      <c r="B17" s="598" t="s">
        <v>783</v>
      </c>
    </row>
    <row r="18" spans="1:4">
      <c r="C18" s="598" t="s">
        <v>784</v>
      </c>
    </row>
    <row r="19" spans="1:4">
      <c r="B19" s="598" t="s">
        <v>785</v>
      </c>
    </row>
    <row r="20" spans="1:4">
      <c r="C20" s="598" t="s">
        <v>786</v>
      </c>
    </row>
    <row r="21" spans="1:4">
      <c r="B21" s="598" t="s">
        <v>787</v>
      </c>
    </row>
    <row r="22" spans="1:4">
      <c r="B22" s="598" t="s">
        <v>788</v>
      </c>
    </row>
    <row r="23" spans="1:4">
      <c r="B23" s="598" t="s">
        <v>789</v>
      </c>
    </row>
    <row r="25" spans="1:4" ht="23.25">
      <c r="A25" s="597" t="s">
        <v>790</v>
      </c>
    </row>
    <row r="26" spans="1:4">
      <c r="B26" s="599" t="s">
        <v>791</v>
      </c>
    </row>
    <row r="27" spans="1:4">
      <c r="B27" s="600"/>
      <c r="C27" s="601" t="s">
        <v>810</v>
      </c>
    </row>
    <row r="28" spans="1:4">
      <c r="B28" s="600"/>
      <c r="C28" s="601" t="s">
        <v>792</v>
      </c>
    </row>
    <row r="29" spans="1:4">
      <c r="B29" s="599" t="s">
        <v>793</v>
      </c>
    </row>
    <row r="30" spans="1:4">
      <c r="B30" s="602"/>
      <c r="C30" s="598" t="s">
        <v>794</v>
      </c>
    </row>
    <row r="31" spans="1:4">
      <c r="B31" s="603"/>
      <c r="D31" s="598" t="s">
        <v>795</v>
      </c>
    </row>
    <row r="32" spans="1:4">
      <c r="B32" s="602"/>
      <c r="D32" s="598" t="s">
        <v>796</v>
      </c>
    </row>
    <row r="33" spans="2:4">
      <c r="B33" s="602"/>
      <c r="C33" s="610" t="s">
        <v>811</v>
      </c>
    </row>
    <row r="34" spans="2:4">
      <c r="B34" s="603"/>
      <c r="D34" s="598" t="s">
        <v>797</v>
      </c>
    </row>
    <row r="35" spans="2:4">
      <c r="B35" s="602"/>
      <c r="D35" s="598" t="s">
        <v>798</v>
      </c>
    </row>
    <row r="36" spans="2:4">
      <c r="B36" s="600"/>
      <c r="D36" s="598" t="s">
        <v>799</v>
      </c>
    </row>
    <row r="37" spans="2:4">
      <c r="B37" s="600"/>
      <c r="C37" s="598" t="s">
        <v>800</v>
      </c>
    </row>
    <row r="38" spans="2:4">
      <c r="B38" s="600"/>
      <c r="D38" s="598" t="s">
        <v>801</v>
      </c>
    </row>
    <row r="39" spans="2:4">
      <c r="B39" s="600"/>
      <c r="D39" s="598" t="s">
        <v>802</v>
      </c>
    </row>
    <row r="40" spans="2:4">
      <c r="D40" s="610" t="s">
        <v>812</v>
      </c>
    </row>
    <row r="41" spans="2:4">
      <c r="D41" s="598" t="s">
        <v>803</v>
      </c>
    </row>
    <row r="42" spans="2:4">
      <c r="D42" s="620" t="s">
        <v>829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9B051-C3A2-47FE-A387-4C73FD4708C5}">
  <sheetPr>
    <tabColor theme="9" tint="-0.249977111117893"/>
  </sheetPr>
  <dimension ref="B2:AF97"/>
  <sheetViews>
    <sheetView zoomScale="98" zoomScaleNormal="98" workbookViewId="0">
      <selection activeCell="B37" sqref="B37"/>
    </sheetView>
  </sheetViews>
  <sheetFormatPr defaultColWidth="7.75" defaultRowHeight="12.75"/>
  <cols>
    <col min="1" max="1" width="2.5" style="162" customWidth="1"/>
    <col min="2" max="2" width="30" style="162" customWidth="1"/>
    <col min="3" max="3" width="11" style="162" customWidth="1"/>
    <col min="4" max="4" width="8.375" style="162" customWidth="1"/>
    <col min="5" max="5" width="13.125" style="162" customWidth="1"/>
    <col min="6" max="6" width="12.25" style="162" customWidth="1"/>
    <col min="7" max="7" width="9.75" style="162" customWidth="1"/>
    <col min="8" max="8" width="4.75" style="843" customWidth="1"/>
    <col min="9" max="9" width="5.125" style="162" customWidth="1"/>
    <col min="10" max="10" width="14.125" style="162" customWidth="1"/>
    <col min="11" max="12" width="12.625" style="162" customWidth="1"/>
    <col min="13" max="13" width="13" style="162" customWidth="1"/>
    <col min="14" max="14" width="11.25" style="162" customWidth="1"/>
    <col min="15" max="15" width="7.375" style="162" customWidth="1"/>
    <col min="16" max="16" width="9.375" style="162" customWidth="1"/>
    <col min="17" max="17" width="9.875" style="162" customWidth="1"/>
    <col min="18" max="18" width="7.625" style="162" customWidth="1"/>
    <col min="19" max="19" width="7.75" style="162"/>
    <col min="20" max="20" width="8.25" style="162" customWidth="1"/>
    <col min="21" max="21" width="9.875" style="162" customWidth="1"/>
    <col min="22" max="22" width="7.75" style="162"/>
    <col min="23" max="23" width="8" style="162" bestFit="1" customWidth="1"/>
    <col min="24" max="24" width="10.125" style="162" bestFit="1" customWidth="1"/>
    <col min="25" max="25" width="9.375" style="162" customWidth="1"/>
    <col min="26" max="26" width="8" style="162" customWidth="1"/>
    <col min="27" max="16384" width="7.75" style="162"/>
  </cols>
  <sheetData>
    <row r="2" spans="2:10">
      <c r="B2" s="577" t="s">
        <v>808</v>
      </c>
      <c r="C2" s="573"/>
      <c r="D2" s="573"/>
      <c r="E2" s="573"/>
      <c r="F2" s="573"/>
      <c r="G2" s="573"/>
    </row>
    <row r="3" spans="2:10">
      <c r="B3" s="543" t="s">
        <v>717</v>
      </c>
      <c r="C3" s="549"/>
      <c r="D3" s="549"/>
      <c r="E3" s="549"/>
      <c r="F3" s="549"/>
      <c r="G3" s="549"/>
    </row>
    <row r="4" spans="2:10" ht="38.25">
      <c r="B4" s="560"/>
      <c r="C4" s="162" t="s">
        <v>718</v>
      </c>
      <c r="D4" s="162" t="s">
        <v>719</v>
      </c>
      <c r="E4" s="162" t="s">
        <v>720</v>
      </c>
      <c r="F4" s="162" t="s">
        <v>721</v>
      </c>
      <c r="G4" s="162" t="s">
        <v>0</v>
      </c>
    </row>
    <row r="5" spans="2:10">
      <c r="B5" s="560"/>
      <c r="C5" s="564">
        <v>1</v>
      </c>
      <c r="D5" s="564">
        <v>0.2</v>
      </c>
      <c r="E5" s="564">
        <v>0.1</v>
      </c>
      <c r="F5" s="564">
        <v>0.02</v>
      </c>
      <c r="G5" s="552">
        <f>C5-SUM(D5:F5)</f>
        <v>0.67999999999999994</v>
      </c>
    </row>
    <row r="6" spans="2:10">
      <c r="B6" s="560" t="s">
        <v>1121</v>
      </c>
      <c r="C6" s="170">
        <v>140000</v>
      </c>
      <c r="D6" s="564"/>
      <c r="E6" s="564"/>
      <c r="F6" s="564"/>
      <c r="G6" s="552"/>
    </row>
    <row r="7" spans="2:10">
      <c r="B7" s="561" t="s">
        <v>1087</v>
      </c>
      <c r="C7" s="562">
        <f>ROUNDUP(C6*I7,-2)</f>
        <v>10000</v>
      </c>
      <c r="D7" s="562">
        <f>$C$7*D5</f>
        <v>2000</v>
      </c>
      <c r="E7" s="562">
        <f t="shared" ref="E7:F7" si="0">$C$7*E5</f>
        <v>1000</v>
      </c>
      <c r="F7" s="562">
        <f t="shared" si="0"/>
        <v>200</v>
      </c>
      <c r="G7" s="562">
        <f>C7-SUM(D7:F7)</f>
        <v>6800</v>
      </c>
      <c r="I7" s="870">
        <v>7.0999999999999994E-2</v>
      </c>
    </row>
    <row r="8" spans="2:10">
      <c r="B8" s="563" t="s">
        <v>722</v>
      </c>
      <c r="C8" s="566">
        <f t="shared" ref="C8:G10" si="1">C$7*$H8</f>
        <v>700.00000000000011</v>
      </c>
      <c r="D8" s="881">
        <f>D$7*$H8</f>
        <v>140</v>
      </c>
      <c r="E8" s="566">
        <f t="shared" si="1"/>
        <v>70</v>
      </c>
      <c r="F8" s="566">
        <f t="shared" si="1"/>
        <v>14.000000000000002</v>
      </c>
      <c r="G8" s="566">
        <f t="shared" si="1"/>
        <v>476.00000000000006</v>
      </c>
      <c r="H8" s="874">
        <v>7.0000000000000007E-2</v>
      </c>
      <c r="J8" s="550"/>
    </row>
    <row r="9" spans="2:10">
      <c r="B9" s="563" t="s">
        <v>723</v>
      </c>
      <c r="C9" s="566">
        <f t="shared" si="1"/>
        <v>700.00000000000011</v>
      </c>
      <c r="D9" s="566">
        <f>D$7*$H9</f>
        <v>140</v>
      </c>
      <c r="E9" s="566">
        <f t="shared" si="1"/>
        <v>70</v>
      </c>
      <c r="F9" s="566">
        <f t="shared" si="1"/>
        <v>14.000000000000002</v>
      </c>
      <c r="G9" s="566">
        <f t="shared" si="1"/>
        <v>476.00000000000006</v>
      </c>
      <c r="H9" s="874">
        <v>7.0000000000000007E-2</v>
      </c>
    </row>
    <row r="10" spans="2:10">
      <c r="B10" s="565" t="s">
        <v>725</v>
      </c>
      <c r="C10" s="566">
        <f t="shared" si="1"/>
        <v>8599.9999999999982</v>
      </c>
      <c r="D10" s="566">
        <f t="shared" si="1"/>
        <v>1719.9999999999998</v>
      </c>
      <c r="E10" s="566">
        <f t="shared" si="1"/>
        <v>859.99999999999989</v>
      </c>
      <c r="F10" s="566">
        <f t="shared" si="1"/>
        <v>171.99999999999997</v>
      </c>
      <c r="G10" s="566">
        <f>G$7*$H10</f>
        <v>5847.9999999999991</v>
      </c>
      <c r="H10" s="874">
        <f>1-H8-H9</f>
        <v>0.85999999999999988</v>
      </c>
    </row>
    <row r="11" spans="2:10">
      <c r="B11" s="565"/>
      <c r="C11" s="566"/>
      <c r="D11" s="566"/>
      <c r="E11" s="566"/>
      <c r="F11" s="566"/>
      <c r="G11" s="566"/>
      <c r="H11" s="874"/>
    </row>
    <row r="12" spans="2:10">
      <c r="B12" s="565" t="s">
        <v>1066</v>
      </c>
      <c r="C12" s="562">
        <v>15000</v>
      </c>
      <c r="D12" s="562">
        <f>$C$12*D5</f>
        <v>3000</v>
      </c>
      <c r="E12" s="562">
        <f t="shared" ref="E12:F12" si="2">$C$12*E5</f>
        <v>1500</v>
      </c>
      <c r="F12" s="562">
        <f t="shared" si="2"/>
        <v>300</v>
      </c>
      <c r="G12" s="562">
        <f>$C$12*G5</f>
        <v>10199.999999999998</v>
      </c>
      <c r="H12" s="844"/>
    </row>
    <row r="13" spans="2:10">
      <c r="D13" s="164"/>
    </row>
    <row r="14" spans="2:10">
      <c r="B14" s="177" t="s">
        <v>710</v>
      </c>
    </row>
    <row r="15" spans="2:10">
      <c r="B15" s="161" t="s">
        <v>1142</v>
      </c>
    </row>
    <row r="16" spans="2:10">
      <c r="B16" s="161" t="s">
        <v>724</v>
      </c>
    </row>
    <row r="17" spans="2:14">
      <c r="B17" s="161" t="s">
        <v>752</v>
      </c>
    </row>
    <row r="18" spans="2:14">
      <c r="B18" s="161" t="s">
        <v>726</v>
      </c>
    </row>
    <row r="19" spans="2:14">
      <c r="B19" s="161" t="s">
        <v>727</v>
      </c>
    </row>
    <row r="20" spans="2:14">
      <c r="B20" s="161" t="s">
        <v>728</v>
      </c>
    </row>
    <row r="21" spans="2:14">
      <c r="B21" s="161" t="s">
        <v>824</v>
      </c>
    </row>
    <row r="22" spans="2:14">
      <c r="B22" s="161"/>
    </row>
    <row r="23" spans="2:14">
      <c r="B23" s="543" t="s">
        <v>729</v>
      </c>
      <c r="C23" s="549"/>
      <c r="D23" s="549"/>
      <c r="E23" s="549"/>
      <c r="F23" s="549"/>
      <c r="G23" s="549"/>
      <c r="J23" s="842" t="s">
        <v>1079</v>
      </c>
    </row>
    <row r="24" spans="2:14" ht="38.25">
      <c r="B24" s="560"/>
      <c r="C24" s="162" t="s">
        <v>718</v>
      </c>
      <c r="D24" s="162" t="s">
        <v>719</v>
      </c>
      <c r="E24" s="162" t="s">
        <v>720</v>
      </c>
      <c r="F24" s="162" t="s">
        <v>721</v>
      </c>
      <c r="G24" s="162" t="s">
        <v>0</v>
      </c>
      <c r="K24" s="162" t="s">
        <v>1081</v>
      </c>
      <c r="L24" s="162" t="s">
        <v>719</v>
      </c>
      <c r="M24" s="162" t="s">
        <v>720</v>
      </c>
      <c r="N24" s="162" t="s">
        <v>721</v>
      </c>
    </row>
    <row r="25" spans="2:14">
      <c r="B25" s="162" t="s">
        <v>732</v>
      </c>
      <c r="C25" s="170">
        <f>SUM(D25:G25)</f>
        <v>10885</v>
      </c>
      <c r="D25" s="579">
        <f>Progress!C120</f>
        <v>0</v>
      </c>
      <c r="E25" s="579">
        <f>Progress!C128</f>
        <v>0</v>
      </c>
      <c r="F25" s="579">
        <f>Progress!C137</f>
        <v>0</v>
      </c>
      <c r="G25" s="170">
        <f>Progress!C149</f>
        <v>10885</v>
      </c>
      <c r="J25" s="162" t="s">
        <v>4</v>
      </c>
      <c r="K25" s="162">
        <f>SUM(L25:N25)</f>
        <v>1395</v>
      </c>
      <c r="L25" s="162">
        <f>Progress!K117</f>
        <v>1181</v>
      </c>
      <c r="M25" s="162">
        <f>Progress!K125</f>
        <v>214</v>
      </c>
      <c r="N25" s="162">
        <f>Progress!K134</f>
        <v>0</v>
      </c>
    </row>
    <row r="26" spans="2:14">
      <c r="B26" s="162" t="s">
        <v>733</v>
      </c>
      <c r="C26" s="170">
        <f t="shared" ref="C26:C27" si="3">SUM(D26:G26)</f>
        <v>9817</v>
      </c>
      <c r="D26" s="579">
        <f>Progress!D120</f>
        <v>0</v>
      </c>
      <c r="E26" s="579">
        <f>Progress!D128</f>
        <v>0</v>
      </c>
      <c r="F26" s="579">
        <f>Progress!D137</f>
        <v>0</v>
      </c>
      <c r="G26" s="170">
        <f>Progress!C150</f>
        <v>9817</v>
      </c>
      <c r="J26" s="162" t="s">
        <v>5</v>
      </c>
      <c r="K26" s="162">
        <f t="shared" ref="K26:K27" si="4">SUM(L26:N26)</f>
        <v>1185</v>
      </c>
      <c r="L26" s="162">
        <f>Progress!K118</f>
        <v>833</v>
      </c>
      <c r="M26" s="162">
        <f>Progress!K126</f>
        <v>352</v>
      </c>
      <c r="N26" s="162">
        <f>Progress!K135</f>
        <v>0</v>
      </c>
    </row>
    <row r="27" spans="2:14">
      <c r="B27" s="162" t="s">
        <v>734</v>
      </c>
      <c r="C27" s="170">
        <f t="shared" si="3"/>
        <v>14924</v>
      </c>
      <c r="D27" s="170">
        <f>Progress!E120</f>
        <v>332</v>
      </c>
      <c r="E27" s="170">
        <f>Progress!E128</f>
        <v>91</v>
      </c>
      <c r="F27" s="579">
        <f>Progress!E137</f>
        <v>0</v>
      </c>
      <c r="G27" s="170">
        <f>Progress!C151</f>
        <v>14501</v>
      </c>
      <c r="J27" s="162" t="s">
        <v>6</v>
      </c>
      <c r="K27" s="162">
        <f t="shared" si="4"/>
        <v>633</v>
      </c>
      <c r="L27" s="162">
        <f>Progress!K119</f>
        <v>248</v>
      </c>
      <c r="M27" s="162">
        <f>Progress!K127</f>
        <v>385</v>
      </c>
      <c r="N27" s="162">
        <f>Progress!K136</f>
        <v>0</v>
      </c>
    </row>
    <row r="28" spans="2:14">
      <c r="B28" s="162" t="s">
        <v>735</v>
      </c>
      <c r="C28" s="170">
        <f>SUM(D28:G28)</f>
        <v>14260</v>
      </c>
      <c r="D28" s="170">
        <f>Progress!J120</f>
        <v>1930</v>
      </c>
      <c r="E28" s="170">
        <f>Progress!J128</f>
        <v>860</v>
      </c>
      <c r="F28" s="579">
        <f>Progress!J137</f>
        <v>0</v>
      </c>
      <c r="G28" s="170">
        <f>Progress!C152</f>
        <v>11470</v>
      </c>
      <c r="K28" s="162">
        <f>SUM(K25:K27)</f>
        <v>3213</v>
      </c>
      <c r="L28" s="162">
        <f>SUM(L25:L27)</f>
        <v>2262</v>
      </c>
      <c r="M28" s="162">
        <f t="shared" ref="M28:N28" si="5">SUM(M25:M27)</f>
        <v>951</v>
      </c>
      <c r="N28" s="162">
        <f t="shared" si="5"/>
        <v>0</v>
      </c>
    </row>
    <row r="29" spans="2:14">
      <c r="B29" s="162" t="s">
        <v>1079</v>
      </c>
      <c r="C29" s="170"/>
      <c r="D29" s="170">
        <f>SUM(D25:D28)</f>
        <v>2262</v>
      </c>
      <c r="E29" s="170">
        <f>SUM(E25:E28)</f>
        <v>951</v>
      </c>
      <c r="F29" s="170">
        <f t="shared" ref="F29" si="6">SUM(F25:F28)</f>
        <v>0</v>
      </c>
      <c r="G29" s="170"/>
    </row>
    <row r="30" spans="2:14">
      <c r="B30" s="161" t="s">
        <v>730</v>
      </c>
    </row>
    <row r="31" spans="2:14">
      <c r="B31" s="161"/>
    </row>
    <row r="32" spans="2:14" ht="15.95" customHeight="1">
      <c r="B32" s="577" t="s">
        <v>716</v>
      </c>
      <c r="C32" s="573"/>
      <c r="D32" s="573"/>
      <c r="E32" s="573"/>
      <c r="F32" s="573"/>
      <c r="G32" s="573"/>
      <c r="H32" s="845"/>
      <c r="L32" s="568" t="s">
        <v>825</v>
      </c>
      <c r="M32" s="617">
        <v>46266</v>
      </c>
    </row>
    <row r="33" spans="2:16" ht="15.95" customHeight="1">
      <c r="B33" s="567" t="s">
        <v>1128</v>
      </c>
      <c r="C33" s="549"/>
      <c r="D33" s="549"/>
      <c r="E33" s="549"/>
      <c r="F33" s="549"/>
      <c r="G33" s="549"/>
      <c r="H33" s="846"/>
      <c r="L33" s="568" t="s">
        <v>1129</v>
      </c>
      <c r="M33" s="551">
        <f>(M32-N33)/30.5</f>
        <v>5.0491803278688527</v>
      </c>
      <c r="N33" s="559">
        <v>46112</v>
      </c>
    </row>
    <row r="34" spans="2:16" ht="15.95" customHeight="1">
      <c r="B34" s="168" t="s">
        <v>1126</v>
      </c>
      <c r="J34" s="612"/>
      <c r="K34" s="613"/>
      <c r="L34" s="619" t="s">
        <v>1088</v>
      </c>
      <c r="M34" s="784">
        <v>1</v>
      </c>
      <c r="N34" s="604"/>
      <c r="O34" s="604"/>
    </row>
    <row r="35" spans="2:16" ht="28.5" customHeight="1">
      <c r="B35" s="168"/>
      <c r="C35" s="162" t="s">
        <v>3</v>
      </c>
      <c r="D35" s="162" t="s">
        <v>1</v>
      </c>
      <c r="E35" s="162" t="s">
        <v>2</v>
      </c>
      <c r="F35" s="162" t="s">
        <v>172</v>
      </c>
      <c r="G35" s="162" t="s">
        <v>365</v>
      </c>
      <c r="H35" s="843" t="s">
        <v>3</v>
      </c>
      <c r="I35" s="162" t="s">
        <v>1</v>
      </c>
      <c r="L35" s="162" t="s">
        <v>1</v>
      </c>
      <c r="M35" s="162" t="s">
        <v>2</v>
      </c>
      <c r="O35" s="604"/>
    </row>
    <row r="36" spans="2:16" ht="15.95" customHeight="1">
      <c r="B36" s="169" t="s">
        <v>7</v>
      </c>
      <c r="C36" s="170">
        <f>SUM(D36:G36)</f>
        <v>8580</v>
      </c>
      <c r="D36" s="170">
        <f>'Post-RIA'!P4</f>
        <v>4881</v>
      </c>
      <c r="E36" s="170">
        <f>'Post-RIA'!Q4</f>
        <v>3438</v>
      </c>
      <c r="F36" s="579">
        <f>'Post-RIA'!R4</f>
        <v>0</v>
      </c>
      <c r="G36" s="170">
        <f>'Post-RIA'!S4</f>
        <v>261</v>
      </c>
      <c r="H36" s="847">
        <f>C36/(C36+C37)</f>
        <v>0.64931133646132888</v>
      </c>
      <c r="I36" s="847">
        <f>D36/(D36+D37)</f>
        <v>0.65728521411257745</v>
      </c>
      <c r="K36" s="169" t="s">
        <v>7</v>
      </c>
      <c r="L36" s="616">
        <f>D36+D42/6*$M$33*$M$34</f>
        <v>5600.5081967213118</v>
      </c>
      <c r="M36" s="616">
        <f>E36+E42/6*$M$33*$M$34</f>
        <v>3778.8196721311474</v>
      </c>
      <c r="N36" s="616"/>
      <c r="O36" s="605"/>
      <c r="P36" s="170"/>
    </row>
    <row r="37" spans="2:16" ht="15.95" customHeight="1">
      <c r="B37" s="169" t="s">
        <v>8</v>
      </c>
      <c r="C37" s="170">
        <f>SUM(D37:G37)</f>
        <v>4634</v>
      </c>
      <c r="D37" s="170">
        <f>'Post-RIA'!P5</f>
        <v>2545</v>
      </c>
      <c r="E37" s="170">
        <f>'Post-RIA'!Q5</f>
        <v>1806</v>
      </c>
      <c r="F37" s="579">
        <f>'Post-RIA'!R5</f>
        <v>0</v>
      </c>
      <c r="G37" s="170">
        <f>'Post-RIA'!S5</f>
        <v>283</v>
      </c>
      <c r="H37" s="847">
        <f>C37/(C37+C36)</f>
        <v>0.35068866353867112</v>
      </c>
      <c r="I37" s="847">
        <f>D37/(D37+D36)</f>
        <v>0.34271478588742255</v>
      </c>
      <c r="K37" s="169" t="s">
        <v>8</v>
      </c>
      <c r="L37" s="616">
        <f t="shared" ref="L37:M37" si="7">D37+D43/6*$M$33*$M$34</f>
        <v>3198.0273224043717</v>
      </c>
      <c r="M37" s="616">
        <f t="shared" si="7"/>
        <v>2164.4918032786886</v>
      </c>
      <c r="N37" s="616"/>
      <c r="O37" s="605"/>
      <c r="P37" s="170"/>
    </row>
    <row r="38" spans="2:16" ht="15.95" customHeight="1">
      <c r="B38" s="169" t="s">
        <v>272</v>
      </c>
      <c r="C38" s="170">
        <f>SUM(D38:G38)</f>
        <v>4901</v>
      </c>
      <c r="D38" s="170">
        <f>'Post-RIA'!P6</f>
        <v>1380</v>
      </c>
      <c r="E38" s="170">
        <f>'Post-RIA'!Q6</f>
        <v>2971</v>
      </c>
      <c r="F38" s="579">
        <f>'Post-RIA'!R6</f>
        <v>0</v>
      </c>
      <c r="G38" s="170">
        <f>'Post-RIA'!S6</f>
        <v>550</v>
      </c>
      <c r="K38" s="169" t="s">
        <v>272</v>
      </c>
      <c r="L38" s="616">
        <f t="shared" ref="L38:M38" si="8">D38+D44/6*$M$33*$M$34</f>
        <v>1604.688524590164</v>
      </c>
      <c r="M38" s="616">
        <f t="shared" si="8"/>
        <v>3338.7486338797817</v>
      </c>
      <c r="N38" s="616"/>
      <c r="O38" s="605"/>
      <c r="P38" s="170"/>
    </row>
    <row r="39" spans="2:16" ht="15.95" customHeight="1">
      <c r="B39" s="568" t="s">
        <v>3</v>
      </c>
      <c r="C39" s="170">
        <f>SUM(C36:C38)</f>
        <v>18115</v>
      </c>
      <c r="D39" s="170">
        <f>SUM(D36:D38)</f>
        <v>8806</v>
      </c>
      <c r="E39" s="170">
        <f t="shared" ref="E39:G39" si="9">SUM(E36:E38)</f>
        <v>8215</v>
      </c>
      <c r="F39" s="579">
        <f t="shared" si="9"/>
        <v>0</v>
      </c>
      <c r="G39" s="170">
        <f t="shared" si="9"/>
        <v>1094</v>
      </c>
      <c r="K39" s="568" t="s">
        <v>3</v>
      </c>
      <c r="L39" s="616">
        <f>SUM(L36:L38)</f>
        <v>10403.224043715847</v>
      </c>
      <c r="M39" s="616">
        <f>SUM(M36:M38)</f>
        <v>9282.0601092896177</v>
      </c>
      <c r="N39" s="616"/>
      <c r="O39" s="605"/>
      <c r="P39" s="170"/>
    </row>
    <row r="40" spans="2:16" ht="15.95" customHeight="1">
      <c r="B40" s="568"/>
      <c r="C40" s="170"/>
      <c r="D40" s="838">
        <f>D39/C39</f>
        <v>0.48611647805685898</v>
      </c>
      <c r="E40" s="838">
        <f>E39/C39</f>
        <v>0.45349158156224123</v>
      </c>
      <c r="F40" s="579"/>
      <c r="G40" s="170"/>
      <c r="J40" s="607"/>
      <c r="K40" s="605"/>
      <c r="L40" s="605"/>
      <c r="M40" s="606"/>
      <c r="N40" s="605"/>
      <c r="O40" s="605"/>
      <c r="P40" s="170"/>
    </row>
    <row r="41" spans="2:16" ht="25.5" customHeight="1">
      <c r="B41" s="608" t="s">
        <v>1127</v>
      </c>
      <c r="C41" s="162" t="s">
        <v>3</v>
      </c>
      <c r="D41" s="162" t="s">
        <v>1</v>
      </c>
      <c r="E41" s="162" t="s">
        <v>2</v>
      </c>
      <c r="F41" s="162" t="s">
        <v>172</v>
      </c>
      <c r="G41" s="162" t="s">
        <v>365</v>
      </c>
      <c r="K41" s="169" t="s">
        <v>7</v>
      </c>
      <c r="L41" s="889">
        <f>L36/M36</f>
        <v>1.4820787131032329</v>
      </c>
      <c r="N41" s="875"/>
      <c r="O41" s="605"/>
      <c r="P41" s="170"/>
    </row>
    <row r="42" spans="2:16" ht="13.5" customHeight="1">
      <c r="B42" s="169" t="s">
        <v>7</v>
      </c>
      <c r="C42" s="170">
        <f>SUM(D42:G42)</f>
        <v>1361</v>
      </c>
      <c r="D42" s="615">
        <f>'Post-RIA'!P10</f>
        <v>855</v>
      </c>
      <c r="E42" s="615">
        <f>'Post-RIA'!Q10</f>
        <v>405</v>
      </c>
      <c r="F42" s="579">
        <f>'Post-RIA'!R10</f>
        <v>0</v>
      </c>
      <c r="G42" s="615">
        <f>'Post-RIA'!S10</f>
        <v>101</v>
      </c>
      <c r="H42" s="847">
        <f>C42/(C42+C43)</f>
        <v>0.50314232902033273</v>
      </c>
      <c r="I42" s="847">
        <f>D42/(D42+D43)</f>
        <v>0.52421827099938689</v>
      </c>
      <c r="K42" s="169" t="s">
        <v>8</v>
      </c>
      <c r="L42" s="889">
        <f t="shared" ref="L42:L43" si="10">L37/M37</f>
        <v>1.4774956955531655</v>
      </c>
      <c r="M42" s="164"/>
      <c r="O42" s="605"/>
      <c r="P42" s="170"/>
    </row>
    <row r="43" spans="2:16" ht="18.75" customHeight="1">
      <c r="B43" s="169" t="s">
        <v>8</v>
      </c>
      <c r="C43" s="170">
        <f t="shared" ref="C43:C44" si="11">SUM(D43:G43)</f>
        <v>1344</v>
      </c>
      <c r="D43" s="615">
        <f>'Post-RIA'!P11</f>
        <v>776</v>
      </c>
      <c r="E43" s="615">
        <f>'Post-RIA'!Q11</f>
        <v>426</v>
      </c>
      <c r="F43" s="579">
        <f>'Post-RIA'!R11</f>
        <v>0</v>
      </c>
      <c r="G43" s="615">
        <f>'Post-RIA'!S11</f>
        <v>142</v>
      </c>
      <c r="H43" s="847">
        <f>C43/(C43+C42)</f>
        <v>0.49685767097966727</v>
      </c>
      <c r="I43" s="847">
        <f>D43/(D43+D42)</f>
        <v>0.47578172900061311</v>
      </c>
      <c r="K43" s="169" t="s">
        <v>272</v>
      </c>
      <c r="L43" s="889">
        <f t="shared" si="10"/>
        <v>0.48062573753132204</v>
      </c>
      <c r="M43" s="164"/>
      <c r="N43" s="875"/>
      <c r="O43" s="605"/>
      <c r="P43" s="170"/>
    </row>
    <row r="44" spans="2:16" ht="14.25" customHeight="1">
      <c r="B44" s="169" t="s">
        <v>272</v>
      </c>
      <c r="C44" s="170">
        <f t="shared" si="11"/>
        <v>854</v>
      </c>
      <c r="D44" s="615">
        <f>'Post-RIA'!P12</f>
        <v>267</v>
      </c>
      <c r="E44" s="615">
        <f>'Post-RIA'!Q12</f>
        <v>437</v>
      </c>
      <c r="F44" s="579">
        <f>'Post-RIA'!R12</f>
        <v>0</v>
      </c>
      <c r="G44" s="615">
        <f>'Post-RIA'!S12</f>
        <v>150</v>
      </c>
      <c r="K44" s="568"/>
      <c r="L44" s="889"/>
      <c r="M44" s="164"/>
      <c r="N44" s="875"/>
      <c r="O44" s="605"/>
      <c r="P44" s="170"/>
    </row>
    <row r="45" spans="2:16" ht="18" customHeight="1">
      <c r="B45" s="568" t="s">
        <v>3</v>
      </c>
      <c r="C45" s="170">
        <f>SUM(C42:C44)</f>
        <v>3559</v>
      </c>
      <c r="D45" s="170">
        <f t="shared" ref="D45:G45" si="12">SUM(D42:D44)</f>
        <v>1898</v>
      </c>
      <c r="E45" s="170">
        <f t="shared" si="12"/>
        <v>1268</v>
      </c>
      <c r="F45" s="579">
        <f t="shared" si="12"/>
        <v>0</v>
      </c>
      <c r="G45" s="170">
        <f t="shared" si="12"/>
        <v>393</v>
      </c>
      <c r="K45" s="164"/>
      <c r="L45" s="164">
        <v>140</v>
      </c>
      <c r="M45" s="164">
        <v>70</v>
      </c>
      <c r="N45" s="875"/>
      <c r="O45" s="605"/>
      <c r="P45" s="170"/>
    </row>
    <row r="46" spans="2:16" ht="21.75" customHeight="1">
      <c r="B46" s="168"/>
      <c r="D46" s="838">
        <f>D45/C45</f>
        <v>0.53329586962629949</v>
      </c>
      <c r="E46" s="838">
        <f>E45/C45</f>
        <v>0.35627985389154254</v>
      </c>
      <c r="F46" s="164">
        <f t="shared" ref="F46:G46" si="13">F45/9</f>
        <v>0</v>
      </c>
      <c r="G46" s="164">
        <f t="shared" si="13"/>
        <v>43.666666666666664</v>
      </c>
      <c r="N46" s="817"/>
    </row>
    <row r="47" spans="2:16" ht="15.95" customHeight="1">
      <c r="B47" s="161" t="s">
        <v>675</v>
      </c>
      <c r="H47" s="848"/>
    </row>
    <row r="48" spans="2:16" ht="15.95" customHeight="1">
      <c r="B48" s="161"/>
      <c r="C48" s="550"/>
      <c r="D48" s="550"/>
      <c r="E48" s="550"/>
      <c r="H48" s="848"/>
    </row>
    <row r="49" spans="2:32" ht="15.95" customHeight="1">
      <c r="B49" s="839"/>
      <c r="C49" s="164"/>
      <c r="D49" s="164"/>
      <c r="E49" s="164"/>
      <c r="G49" s="550"/>
      <c r="H49" s="848"/>
      <c r="P49" s="826"/>
      <c r="Q49" s="826"/>
      <c r="R49" s="826"/>
      <c r="S49" s="826"/>
      <c r="T49" s="826"/>
      <c r="U49" s="826"/>
      <c r="V49" s="826"/>
      <c r="W49" s="827" t="s">
        <v>1084</v>
      </c>
      <c r="X49" s="828">
        <v>4500</v>
      </c>
      <c r="Y49" s="826"/>
      <c r="Z49" s="826"/>
      <c r="AA49" s="817"/>
      <c r="AB49" s="817"/>
      <c r="AC49" s="817"/>
      <c r="AD49" s="817"/>
      <c r="AE49" s="817"/>
    </row>
    <row r="50" spans="2:32" ht="15.95" customHeight="1">
      <c r="B50" s="569" t="s">
        <v>1131</v>
      </c>
      <c r="C50" s="549"/>
      <c r="D50" s="549"/>
      <c r="E50" s="549"/>
      <c r="F50" s="549"/>
      <c r="G50" s="549"/>
      <c r="H50" s="846"/>
      <c r="P50" s="865" t="s">
        <v>1086</v>
      </c>
      <c r="Q50" s="826"/>
      <c r="R50" s="826"/>
      <c r="S50" s="826"/>
      <c r="T50" s="826"/>
      <c r="U50" s="826"/>
      <c r="V50" s="826"/>
      <c r="W50" s="826"/>
      <c r="X50" s="826"/>
      <c r="Y50" s="826"/>
      <c r="Z50" s="826"/>
      <c r="AA50" s="817"/>
      <c r="AB50" s="817"/>
      <c r="AC50" s="817"/>
      <c r="AD50" s="817"/>
      <c r="AE50" s="817"/>
    </row>
    <row r="51" spans="2:32" ht="15.95" customHeight="1">
      <c r="B51" s="570" t="s">
        <v>809</v>
      </c>
      <c r="E51" s="571">
        <v>2</v>
      </c>
      <c r="F51" s="161" t="s">
        <v>736</v>
      </c>
      <c r="K51" s="604"/>
      <c r="L51" s="604"/>
      <c r="M51" s="604"/>
      <c r="N51" s="604"/>
      <c r="O51" s="811"/>
      <c r="P51" s="811"/>
      <c r="Q51" s="811"/>
      <c r="R51" s="811"/>
      <c r="S51" s="811"/>
      <c r="T51" s="811"/>
      <c r="U51" s="811"/>
      <c r="AD51" s="829"/>
      <c r="AE51" s="817"/>
    </row>
    <row r="52" spans="2:32" ht="18.75" customHeight="1">
      <c r="B52" s="168" t="s">
        <v>1130</v>
      </c>
      <c r="J52" s="578" t="s">
        <v>835</v>
      </c>
      <c r="K52" s="604"/>
      <c r="L52" s="604"/>
      <c r="M52" s="809">
        <f>M32</f>
        <v>46266</v>
      </c>
      <c r="N52" s="811"/>
      <c r="O52" s="811"/>
      <c r="P52" s="578" t="s">
        <v>1078</v>
      </c>
      <c r="Q52" s="811"/>
      <c r="R52" s="811"/>
      <c r="S52" s="811"/>
      <c r="T52" s="811"/>
      <c r="U52" s="811"/>
      <c r="W52" s="882" t="s">
        <v>1103</v>
      </c>
      <c r="X52" s="604"/>
      <c r="Y52" s="604"/>
      <c r="Z52" s="604"/>
      <c r="AA52" s="604"/>
      <c r="AB52" s="604"/>
      <c r="AC52" s="604"/>
      <c r="AD52" s="604"/>
      <c r="AE52" s="604"/>
      <c r="AF52" s="817"/>
    </row>
    <row r="53" spans="2:32" ht="39" customHeight="1">
      <c r="B53" s="168"/>
      <c r="C53" s="162" t="s">
        <v>3</v>
      </c>
      <c r="D53" s="162" t="s">
        <v>1</v>
      </c>
      <c r="E53" s="162" t="s">
        <v>2</v>
      </c>
      <c r="F53" s="162" t="s">
        <v>172</v>
      </c>
      <c r="G53" s="162" t="s">
        <v>365</v>
      </c>
      <c r="J53" s="810"/>
      <c r="L53" s="162" t="s">
        <v>1</v>
      </c>
      <c r="M53" s="162" t="s">
        <v>2</v>
      </c>
      <c r="N53" s="811"/>
      <c r="O53" s="811"/>
      <c r="P53" s="811"/>
      <c r="Q53" s="811" t="s">
        <v>1</v>
      </c>
      <c r="R53" s="811" t="s">
        <v>2</v>
      </c>
      <c r="S53" s="811" t="s">
        <v>172</v>
      </c>
      <c r="T53" s="811" t="s">
        <v>0</v>
      </c>
      <c r="U53" s="811" t="s">
        <v>1080</v>
      </c>
      <c r="W53" s="811" t="s">
        <v>1071</v>
      </c>
      <c r="X53" s="811" t="s">
        <v>970</v>
      </c>
      <c r="Y53" s="881" t="s">
        <v>326</v>
      </c>
      <c r="Z53" s="881" t="s">
        <v>1083</v>
      </c>
      <c r="AA53" s="811"/>
      <c r="AB53" s="811"/>
      <c r="AC53" s="811"/>
      <c r="AD53" s="604"/>
      <c r="AE53" s="604"/>
      <c r="AF53" s="817"/>
    </row>
    <row r="54" spans="2:32" ht="15.95" customHeight="1">
      <c r="B54" s="169" t="s">
        <v>7</v>
      </c>
      <c r="C54" s="819">
        <f>SUM(D54:G54)</f>
        <v>17160</v>
      </c>
      <c r="D54" s="819">
        <f>D36*$E$51</f>
        <v>9762</v>
      </c>
      <c r="E54" s="819">
        <f>E36*$E$51</f>
        <v>6876</v>
      </c>
      <c r="F54" s="820">
        <f t="shared" ref="D54:G56" si="14">F36*$E$51</f>
        <v>0</v>
      </c>
      <c r="G54" s="819">
        <f t="shared" si="14"/>
        <v>522</v>
      </c>
      <c r="K54" s="169" t="s">
        <v>7</v>
      </c>
      <c r="L54" s="821">
        <f>L36*$E$51</f>
        <v>11201.016393442624</v>
      </c>
      <c r="M54" s="821">
        <f t="shared" ref="L54:M57" si="15">M36*$E$51</f>
        <v>7557.6393442622948</v>
      </c>
      <c r="N54" s="342"/>
      <c r="O54" s="811"/>
      <c r="P54" s="866" t="s">
        <v>7</v>
      </c>
      <c r="Q54" s="867">
        <f>L54-L25</f>
        <v>10020.016393442624</v>
      </c>
      <c r="R54" s="867">
        <f>M54-M25</f>
        <v>7343.6393442622948</v>
      </c>
      <c r="S54" s="867">
        <f>Summary2!I22</f>
        <v>423.20000000000005</v>
      </c>
      <c r="T54" s="342">
        <f>C75</f>
        <v>23200</v>
      </c>
      <c r="U54" s="867">
        <f>SUM(Q54:T54)</f>
        <v>40986.855737704915</v>
      </c>
      <c r="W54" s="811"/>
      <c r="X54" s="811"/>
      <c r="Y54" s="867">
        <f>U55</f>
        <v>11251.638251366121</v>
      </c>
      <c r="Z54" s="867">
        <f>T55</f>
        <v>1500</v>
      </c>
      <c r="AA54" s="814">
        <f>Y54/700</f>
        <v>16.07376893052303</v>
      </c>
      <c r="AB54" s="811"/>
      <c r="AC54" s="811"/>
      <c r="AD54" s="604"/>
      <c r="AE54" s="604"/>
      <c r="AF54" s="817"/>
    </row>
    <row r="55" spans="2:32" ht="15.95" customHeight="1">
      <c r="B55" s="169" t="s">
        <v>8</v>
      </c>
      <c r="C55" s="822">
        <f>SUM(D55:G55)</f>
        <v>9268</v>
      </c>
      <c r="D55" s="822">
        <f>D37*$E$51</f>
        <v>5090</v>
      </c>
      <c r="E55" s="822">
        <f t="shared" si="14"/>
        <v>3612</v>
      </c>
      <c r="F55" s="823">
        <f t="shared" si="14"/>
        <v>0</v>
      </c>
      <c r="G55" s="822">
        <f t="shared" si="14"/>
        <v>566</v>
      </c>
      <c r="K55" s="169" t="s">
        <v>8</v>
      </c>
      <c r="L55" s="824">
        <f>L37*$E$51</f>
        <v>6396.0546448087434</v>
      </c>
      <c r="M55" s="824">
        <f>M37*$E$51</f>
        <v>4328.9836065573772</v>
      </c>
      <c r="N55" s="342">
        <f>L55+M55</f>
        <v>10725.038251366121</v>
      </c>
      <c r="O55" s="811"/>
      <c r="P55" s="866" t="s">
        <v>8</v>
      </c>
      <c r="Q55" s="867">
        <f>L55-L26</f>
        <v>5563.0546448087434</v>
      </c>
      <c r="R55" s="867">
        <f>M55-M26</f>
        <v>3976.9836065573772</v>
      </c>
      <c r="S55" s="867">
        <f>Summary2!L22</f>
        <v>211.60000000000002</v>
      </c>
      <c r="T55" s="342">
        <f>C76</f>
        <v>1500</v>
      </c>
      <c r="U55" s="867">
        <f>SUM(Q55:T55)</f>
        <v>11251.638251366121</v>
      </c>
      <c r="V55" s="550">
        <f>U55/700</f>
        <v>16.07376893052303</v>
      </c>
      <c r="W55" s="890">
        <v>1</v>
      </c>
      <c r="X55" s="881">
        <v>-1500</v>
      </c>
      <c r="Y55" s="881">
        <f>W55*X55</f>
        <v>-1500</v>
      </c>
      <c r="Z55" s="867">
        <f>X55</f>
        <v>-1500</v>
      </c>
      <c r="AA55" s="811"/>
      <c r="AB55" s="811"/>
      <c r="AC55" s="811"/>
      <c r="AD55" s="604"/>
      <c r="AE55" s="604"/>
      <c r="AF55" s="817"/>
    </row>
    <row r="56" spans="2:32" ht="15.95" customHeight="1">
      <c r="B56" s="169" t="s">
        <v>272</v>
      </c>
      <c r="C56" s="164">
        <f>SUM(D56:G56)</f>
        <v>9802</v>
      </c>
      <c r="D56" s="164">
        <f t="shared" si="14"/>
        <v>2760</v>
      </c>
      <c r="E56" s="164">
        <f t="shared" si="14"/>
        <v>5942</v>
      </c>
      <c r="F56" s="579">
        <f t="shared" si="14"/>
        <v>0</v>
      </c>
      <c r="G56" s="164">
        <f t="shared" si="14"/>
        <v>1100</v>
      </c>
      <c r="K56" s="169" t="s">
        <v>272</v>
      </c>
      <c r="L56" s="342">
        <f t="shared" si="15"/>
        <v>3209.377049180328</v>
      </c>
      <c r="M56" s="342">
        <f t="shared" si="15"/>
        <v>6677.4972677595633</v>
      </c>
      <c r="N56" s="342">
        <f>N55/700</f>
        <v>15.321483216237315</v>
      </c>
      <c r="O56" s="811"/>
      <c r="P56" s="866" t="s">
        <v>6</v>
      </c>
      <c r="Q56" s="867">
        <f t="shared" ref="Q56:R56" si="16">L56-L27</f>
        <v>2961.377049180328</v>
      </c>
      <c r="R56" s="867">
        <f t="shared" si="16"/>
        <v>6292.4972677595633</v>
      </c>
      <c r="S56" s="867">
        <f>Summary2!O22</f>
        <v>423.20000000000005</v>
      </c>
      <c r="T56" s="342">
        <f>C77</f>
        <v>900</v>
      </c>
      <c r="U56" s="867">
        <f t="shared" ref="U56" si="17">SUM(Q56:T56)</f>
        <v>10577.074316939892</v>
      </c>
      <c r="W56" s="890">
        <v>1</v>
      </c>
      <c r="X56" s="881">
        <v>-1300</v>
      </c>
      <c r="Y56" s="881">
        <f>W56*X56</f>
        <v>-1300</v>
      </c>
      <c r="Z56" s="811"/>
      <c r="AA56" s="811"/>
      <c r="AB56" s="811"/>
      <c r="AC56" s="811"/>
      <c r="AD56" s="604"/>
      <c r="AE56" s="604"/>
      <c r="AF56" s="817"/>
    </row>
    <row r="57" spans="2:32" ht="15.95" customHeight="1">
      <c r="B57" s="568" t="s">
        <v>731</v>
      </c>
      <c r="C57" s="164">
        <f>SUM(D57:G57)</f>
        <v>36230</v>
      </c>
      <c r="D57" s="566">
        <f>SUM(D54:D56)</f>
        <v>17612</v>
      </c>
      <c r="E57" s="566">
        <f>SUM(E54:E56)</f>
        <v>16430</v>
      </c>
      <c r="F57" s="579">
        <f>SUM(F54:F56)</f>
        <v>0</v>
      </c>
      <c r="G57" s="566">
        <f t="shared" ref="G57" si="18">SUM(G54:G56)</f>
        <v>2188</v>
      </c>
      <c r="K57" s="568" t="s">
        <v>1090</v>
      </c>
      <c r="L57" s="840">
        <f t="shared" si="15"/>
        <v>20806.448087431694</v>
      </c>
      <c r="M57" s="841">
        <f t="shared" si="15"/>
        <v>18564.120218579235</v>
      </c>
      <c r="N57" s="342"/>
      <c r="O57" s="811"/>
      <c r="P57" s="619" t="s">
        <v>3</v>
      </c>
      <c r="Q57" s="867">
        <f>SUM(Q54:Q56)</f>
        <v>18544.448087431694</v>
      </c>
      <c r="R57" s="867">
        <f t="shared" ref="R57:U57" si="19">SUM(R54:R56)</f>
        <v>17613.120218579235</v>
      </c>
      <c r="S57" s="867">
        <f>SUM(S54:S56)</f>
        <v>1058</v>
      </c>
      <c r="T57" s="867">
        <f t="shared" si="19"/>
        <v>25600</v>
      </c>
      <c r="U57" s="867">
        <f t="shared" si="19"/>
        <v>62815.56830601093</v>
      </c>
      <c r="W57" s="811">
        <v>2</v>
      </c>
      <c r="X57" s="881">
        <v>-800</v>
      </c>
      <c r="Y57" s="881">
        <f>W57*X57</f>
        <v>-1600</v>
      </c>
      <c r="Z57" s="811"/>
      <c r="AA57" s="811"/>
      <c r="AB57" s="811"/>
      <c r="AC57" s="811"/>
      <c r="AD57" s="604"/>
      <c r="AE57" s="604"/>
      <c r="AF57" s="817"/>
    </row>
    <row r="58" spans="2:32" ht="15.95" customHeight="1">
      <c r="B58" s="568"/>
      <c r="C58" s="164"/>
      <c r="D58" s="566"/>
      <c r="E58" s="566"/>
      <c r="F58" s="579"/>
      <c r="G58" s="566"/>
      <c r="K58" s="619" t="s">
        <v>1089</v>
      </c>
      <c r="L58" s="342">
        <f>D29+D28*M33/12</f>
        <v>3074.0765027322404</v>
      </c>
      <c r="M58" s="342">
        <f>E29+E28*M33/12</f>
        <v>1312.8579234972678</v>
      </c>
      <c r="N58" s="342"/>
      <c r="O58" s="811"/>
      <c r="P58" s="811"/>
      <c r="Q58" s="811"/>
      <c r="R58" s="856">
        <f>SUM(Q55:S55)/SUM(Q54:S55)</f>
        <v>0.3541093516310721</v>
      </c>
      <c r="S58" s="831">
        <f>SUM(Q57:S57)</f>
        <v>37215.56830601093</v>
      </c>
      <c r="T58" s="833"/>
      <c r="U58" s="832">
        <v>10000</v>
      </c>
      <c r="W58" s="890">
        <v>4</v>
      </c>
      <c r="X58" s="881">
        <f>-X49*R58</f>
        <v>-1593.4920823398245</v>
      </c>
      <c r="Y58" s="881">
        <f>W58*X58</f>
        <v>-6373.968329359298</v>
      </c>
      <c r="Z58" s="811"/>
      <c r="AA58" s="811"/>
      <c r="AB58" s="811"/>
      <c r="AC58" s="811"/>
      <c r="AD58" s="604"/>
      <c r="AE58" s="604"/>
      <c r="AF58" s="817"/>
    </row>
    <row r="59" spans="2:32" ht="23.25" customHeight="1">
      <c r="B59" s="169" t="s">
        <v>827</v>
      </c>
      <c r="C59" s="164">
        <f>SUM(D59:G59)</f>
        <v>7118</v>
      </c>
      <c r="D59" s="566">
        <f>D45*$E$51</f>
        <v>3796</v>
      </c>
      <c r="E59" s="566">
        <f>E45*$E$51</f>
        <v>2536</v>
      </c>
      <c r="F59" s="566">
        <f>F45*$E$51</f>
        <v>0</v>
      </c>
      <c r="G59" s="566">
        <f>G45*$E$51</f>
        <v>786</v>
      </c>
      <c r="K59" s="169" t="s">
        <v>1091</v>
      </c>
      <c r="L59" s="164">
        <f t="shared" ref="L59:M59" si="20">L57-L58</f>
        <v>17732.371584699453</v>
      </c>
      <c r="M59" s="164">
        <f t="shared" si="20"/>
        <v>17251.262295081968</v>
      </c>
      <c r="N59" s="342"/>
      <c r="O59" s="811"/>
      <c r="P59" s="811"/>
      <c r="Q59" s="811"/>
      <c r="W59" s="890">
        <f>SUM(W55:W58)</f>
        <v>8</v>
      </c>
      <c r="X59" s="890"/>
      <c r="Y59" s="891">
        <f>SUM(Y54:Y58)</f>
        <v>477.66992200682307</v>
      </c>
      <c r="Z59" s="867">
        <f>SUM(Z54:Z58)</f>
        <v>0</v>
      </c>
      <c r="AA59" s="811"/>
      <c r="AB59" s="811"/>
      <c r="AC59" s="811"/>
      <c r="AD59" s="604"/>
      <c r="AE59" s="604"/>
      <c r="AF59" s="817"/>
    </row>
    <row r="60" spans="2:32" ht="15.95" customHeight="1">
      <c r="B60" s="169"/>
      <c r="C60" s="566">
        <f>C59/6</f>
        <v>1186.3333333333333</v>
      </c>
      <c r="D60" s="566">
        <f t="shared" ref="D60:E60" si="21">D59/6</f>
        <v>632.66666666666663</v>
      </c>
      <c r="E60" s="566">
        <f t="shared" si="21"/>
        <v>422.66666666666669</v>
      </c>
      <c r="H60" s="849"/>
      <c r="J60" s="177"/>
      <c r="K60" s="816"/>
      <c r="L60" s="550"/>
      <c r="M60" s="550"/>
      <c r="N60" s="814"/>
      <c r="O60" s="811"/>
      <c r="P60" s="619" t="s">
        <v>1094</v>
      </c>
      <c r="Q60" s="811">
        <f>Q61*$U$60</f>
        <v>140</v>
      </c>
      <c r="R60" s="811">
        <f>R61*$U$60</f>
        <v>70</v>
      </c>
      <c r="S60" s="811">
        <f>S61*$U$60</f>
        <v>14</v>
      </c>
      <c r="T60" s="811">
        <f>T61*$U$60</f>
        <v>476.00000000000006</v>
      </c>
      <c r="U60" s="811">
        <v>700</v>
      </c>
      <c r="W60" s="868"/>
      <c r="X60" s="867"/>
      <c r="Y60" s="811"/>
      <c r="Z60" s="811"/>
      <c r="AA60" s="811"/>
      <c r="AB60" s="811"/>
      <c r="AC60" s="811"/>
      <c r="AD60" s="604"/>
      <c r="AE60" s="604"/>
      <c r="AF60" s="817"/>
    </row>
    <row r="61" spans="2:32" ht="15.95" customHeight="1">
      <c r="B61" s="168" t="s">
        <v>826</v>
      </c>
      <c r="C61" s="566"/>
      <c r="D61" s="566"/>
      <c r="E61" s="566"/>
      <c r="H61" s="849"/>
      <c r="J61" s="177"/>
      <c r="K61" s="815"/>
      <c r="L61" s="550">
        <f>L55/(140+300)</f>
        <v>14.536487829110781</v>
      </c>
      <c r="M61" s="550">
        <f>(L55+M55)/700</f>
        <v>15.321483216237315</v>
      </c>
      <c r="N61" s="814"/>
      <c r="O61" s="814"/>
      <c r="P61" s="811" t="s">
        <v>1093</v>
      </c>
      <c r="Q61" s="868">
        <v>0.2</v>
      </c>
      <c r="R61" s="868">
        <v>0.1</v>
      </c>
      <c r="S61" s="868">
        <v>0.02</v>
      </c>
      <c r="T61" s="868">
        <v>0.68</v>
      </c>
      <c r="U61" s="868">
        <f>SUM(Q61:T61)</f>
        <v>1</v>
      </c>
      <c r="V61" s="829"/>
      <c r="W61" s="811"/>
      <c r="X61" s="811"/>
      <c r="Y61" s="811"/>
      <c r="Z61" s="811"/>
      <c r="AA61" s="811"/>
      <c r="AB61" s="811"/>
      <c r="AC61" s="811"/>
      <c r="AD61" s="604"/>
      <c r="AE61" s="604"/>
      <c r="AF61" s="817"/>
    </row>
    <row r="62" spans="2:32" ht="15.95" customHeight="1">
      <c r="B62" s="161" t="s">
        <v>1098</v>
      </c>
      <c r="H62" s="849"/>
      <c r="O62" s="814"/>
      <c r="V62" s="829"/>
      <c r="W62" s="892" t="s">
        <v>1082</v>
      </c>
      <c r="X62" s="616"/>
      <c r="Y62" s="616"/>
      <c r="Z62" s="616"/>
      <c r="AA62" s="811"/>
      <c r="AB62" s="811"/>
      <c r="AC62" s="811"/>
      <c r="AD62" s="829"/>
      <c r="AE62" s="817"/>
      <c r="AF62" s="817"/>
    </row>
    <row r="63" spans="2:32" ht="29.25" customHeight="1">
      <c r="B63" s="168"/>
      <c r="C63" s="162" t="s">
        <v>3</v>
      </c>
      <c r="D63" s="162" t="s">
        <v>1</v>
      </c>
      <c r="E63" s="162" t="s">
        <v>2</v>
      </c>
      <c r="H63" s="849"/>
      <c r="J63" s="876" t="s">
        <v>1123</v>
      </c>
      <c r="K63" s="875"/>
      <c r="L63" s="875"/>
      <c r="M63" s="877"/>
      <c r="N63" s="817"/>
      <c r="O63" s="814"/>
      <c r="P63" s="869" t="s">
        <v>1102</v>
      </c>
      <c r="Q63" s="868">
        <f>Q54/$U$54</f>
        <v>0.24446901849621366</v>
      </c>
      <c r="R63" s="868">
        <f>R54/$U$54</f>
        <v>0.17917059535520025</v>
      </c>
      <c r="S63" s="868">
        <f>S54/$U$54</f>
        <v>1.0325261413275158E-2</v>
      </c>
      <c r="T63" s="868">
        <f>T54/$U$54</f>
        <v>0.56603512473531103</v>
      </c>
      <c r="U63" s="868"/>
      <c r="V63" s="829"/>
      <c r="W63" s="616" t="s">
        <v>1071</v>
      </c>
      <c r="X63" s="616" t="s">
        <v>970</v>
      </c>
      <c r="Y63" s="616" t="s">
        <v>326</v>
      </c>
      <c r="Z63" s="616" t="s">
        <v>1083</v>
      </c>
      <c r="AA63" s="811"/>
      <c r="AB63" s="811"/>
      <c r="AC63" s="811"/>
      <c r="AD63" s="829"/>
      <c r="AE63" s="817"/>
      <c r="AF63" s="817"/>
    </row>
    <row r="64" spans="2:32" ht="15.95" customHeight="1">
      <c r="B64" s="169" t="s">
        <v>7</v>
      </c>
      <c r="C64" s="818">
        <f t="shared" ref="C64:E66" si="22">C54/C8</f>
        <v>24.514285714285709</v>
      </c>
      <c r="D64" s="818">
        <f t="shared" si="22"/>
        <v>69.728571428571428</v>
      </c>
      <c r="E64" s="818">
        <f t="shared" si="22"/>
        <v>98.228571428571428</v>
      </c>
      <c r="F64" s="579"/>
      <c r="G64" s="164"/>
      <c r="H64" s="849"/>
      <c r="J64" s="878"/>
      <c r="K64" s="817"/>
      <c r="L64" s="817" t="s">
        <v>1</v>
      </c>
      <c r="M64" s="817" t="s">
        <v>2</v>
      </c>
      <c r="N64" s="817" t="s">
        <v>172</v>
      </c>
      <c r="O64" s="814"/>
      <c r="P64" s="811" t="s">
        <v>1093</v>
      </c>
      <c r="Q64" s="868">
        <v>0.2</v>
      </c>
      <c r="R64" s="868">
        <v>0.1</v>
      </c>
      <c r="S64" s="868">
        <v>0.02</v>
      </c>
      <c r="T64" s="868">
        <v>0.68</v>
      </c>
      <c r="U64" s="868">
        <f>SUM(Q64:T64)</f>
        <v>1</v>
      </c>
      <c r="V64" s="829"/>
      <c r="W64" s="616"/>
      <c r="X64" s="616"/>
      <c r="Y64" s="616">
        <f>U54</f>
        <v>40986.855737704915</v>
      </c>
      <c r="Z64" s="616">
        <f>T54</f>
        <v>23200</v>
      </c>
      <c r="AA64" s="811"/>
      <c r="AB64" s="811"/>
      <c r="AC64" s="811"/>
      <c r="AD64" s="829"/>
      <c r="AE64" s="817"/>
      <c r="AF64" s="817"/>
    </row>
    <row r="65" spans="2:32" ht="15.95" customHeight="1">
      <c r="B65" s="169" t="s">
        <v>8</v>
      </c>
      <c r="C65" s="825">
        <f t="shared" si="22"/>
        <v>13.239999999999998</v>
      </c>
      <c r="D65" s="825">
        <f t="shared" si="22"/>
        <v>36.357142857142854</v>
      </c>
      <c r="E65" s="825">
        <f t="shared" si="22"/>
        <v>51.6</v>
      </c>
      <c r="F65" s="579"/>
      <c r="G65" s="164"/>
      <c r="H65" s="849"/>
      <c r="J65" s="817"/>
      <c r="K65" s="879" t="s">
        <v>7</v>
      </c>
      <c r="L65" s="875">
        <v>3571</v>
      </c>
      <c r="M65" s="877">
        <v>3884</v>
      </c>
      <c r="N65" s="817"/>
      <c r="O65" s="814"/>
      <c r="V65" s="829"/>
      <c r="W65" s="616">
        <v>1</v>
      </c>
      <c r="X65" s="616">
        <v>-7100</v>
      </c>
      <c r="Y65" s="616">
        <f>W65*X65</f>
        <v>-7100</v>
      </c>
      <c r="Z65" s="616">
        <v>-7100</v>
      </c>
      <c r="AA65" s="811"/>
      <c r="AB65" s="811"/>
      <c r="AC65" s="811"/>
      <c r="AD65" s="829"/>
      <c r="AE65" s="817"/>
      <c r="AF65" s="817"/>
    </row>
    <row r="66" spans="2:32" ht="15.95" customHeight="1">
      <c r="B66" s="169" t="s">
        <v>272</v>
      </c>
      <c r="C66" s="618">
        <f t="shared" si="22"/>
        <v>1.1397674418604653</v>
      </c>
      <c r="D66" s="618">
        <f t="shared" si="22"/>
        <v>1.6046511627906979</v>
      </c>
      <c r="E66" s="618">
        <f t="shared" si="22"/>
        <v>6.9093023255813959</v>
      </c>
      <c r="F66" s="579"/>
      <c r="G66" s="164"/>
      <c r="H66" s="849"/>
      <c r="J66" s="817"/>
      <c r="K66" s="879" t="s">
        <v>8</v>
      </c>
      <c r="L66" s="875">
        <v>3505</v>
      </c>
      <c r="M66" s="877">
        <v>2537</v>
      </c>
      <c r="N66" s="817"/>
      <c r="O66" s="814"/>
      <c r="P66" s="869" t="s">
        <v>1101</v>
      </c>
      <c r="Q66" s="868">
        <f>Q55/$U$55</f>
        <v>0.4944217473516182</v>
      </c>
      <c r="R66" s="868">
        <f>R55/$U$55</f>
        <v>0.3534581825072905</v>
      </c>
      <c r="S66" s="868">
        <f>S55/$U$55</f>
        <v>1.8806150293208063E-2</v>
      </c>
      <c r="T66" s="868">
        <f>T55/$U$55</f>
        <v>0.13331391984788321</v>
      </c>
      <c r="V66" s="829"/>
      <c r="W66" s="616">
        <v>1</v>
      </c>
      <c r="X66" s="616">
        <v>-8200</v>
      </c>
      <c r="Y66" s="616">
        <f t="shared" ref="Y66:Y67" si="23">W66*X66</f>
        <v>-8200</v>
      </c>
      <c r="Z66" s="616">
        <v>-8200</v>
      </c>
      <c r="AA66" s="811"/>
      <c r="AB66" s="811"/>
      <c r="AC66" s="811"/>
      <c r="AD66" s="829"/>
      <c r="AE66" s="817"/>
      <c r="AF66" s="817"/>
    </row>
    <row r="67" spans="2:32" ht="15.95" customHeight="1">
      <c r="B67" s="568" t="s">
        <v>731</v>
      </c>
      <c r="C67" s="618">
        <f>C57/C7</f>
        <v>3.6230000000000002</v>
      </c>
      <c r="D67" s="618">
        <f>D57/D7</f>
        <v>8.8059999999999992</v>
      </c>
      <c r="E67" s="618">
        <f>E57/E7</f>
        <v>16.43</v>
      </c>
      <c r="F67" s="579"/>
      <c r="G67" s="566"/>
      <c r="H67" s="849"/>
      <c r="J67" s="817"/>
      <c r="K67" s="879" t="s">
        <v>272</v>
      </c>
      <c r="L67" s="875">
        <v>512</v>
      </c>
      <c r="M67" s="877">
        <v>1702</v>
      </c>
      <c r="N67" s="817"/>
      <c r="O67" s="814"/>
      <c r="P67" s="811" t="s">
        <v>1093</v>
      </c>
      <c r="Q67" s="868">
        <v>0.2</v>
      </c>
      <c r="R67" s="868">
        <v>0.1</v>
      </c>
      <c r="S67" s="868">
        <v>0.02</v>
      </c>
      <c r="T67" s="868">
        <v>0.68</v>
      </c>
      <c r="U67" s="868">
        <f>SUM(Q67:T67)</f>
        <v>1</v>
      </c>
      <c r="V67" s="829"/>
      <c r="W67" s="616">
        <v>1</v>
      </c>
      <c r="X67" s="616">
        <v>-5000</v>
      </c>
      <c r="Y67" s="616">
        <f t="shared" si="23"/>
        <v>-5000</v>
      </c>
      <c r="Z67" s="616">
        <v>-5000</v>
      </c>
      <c r="AA67" s="811"/>
      <c r="AB67" s="811"/>
      <c r="AC67" s="811"/>
      <c r="AD67" s="829"/>
      <c r="AE67" s="817"/>
      <c r="AF67" s="817"/>
    </row>
    <row r="68" spans="2:32" ht="15.95" customHeight="1">
      <c r="B68" s="568"/>
      <c r="C68" s="164"/>
      <c r="D68" s="566"/>
      <c r="E68" s="566"/>
      <c r="F68" s="579"/>
      <c r="G68" s="566"/>
      <c r="H68" s="849"/>
      <c r="J68" s="817"/>
      <c r="K68" s="878" t="s">
        <v>3</v>
      </c>
      <c r="L68" s="872">
        <f>SUM(L65:L67)</f>
        <v>7588</v>
      </c>
      <c r="M68" s="872">
        <f>SUM(M65:M67)</f>
        <v>8123</v>
      </c>
      <c r="N68" s="817"/>
      <c r="O68" s="814"/>
      <c r="V68" s="829"/>
      <c r="W68" s="616">
        <v>6.6</v>
      </c>
      <c r="X68" s="616">
        <f>-X49*(1-R58)</f>
        <v>-2906.5079176601757</v>
      </c>
      <c r="Y68" s="616">
        <f>W68*X68</f>
        <v>-19182.952256557161</v>
      </c>
      <c r="Z68" s="616">
        <v>-2900</v>
      </c>
      <c r="AA68" s="811"/>
      <c r="AB68" s="811"/>
      <c r="AC68" s="811"/>
      <c r="AD68" s="829"/>
      <c r="AE68" s="817"/>
      <c r="AF68" s="817"/>
    </row>
    <row r="69" spans="2:32" ht="22.5" customHeight="1">
      <c r="B69" s="169" t="s">
        <v>827</v>
      </c>
      <c r="C69" s="618">
        <f>C59/C7</f>
        <v>0.71179999999999999</v>
      </c>
      <c r="D69" s="618">
        <f>D59/D7</f>
        <v>1.8979999999999999</v>
      </c>
      <c r="E69" s="618">
        <f>E59/E7</f>
        <v>2.536</v>
      </c>
      <c r="F69" s="566"/>
      <c r="G69" s="566"/>
      <c r="H69" s="849"/>
      <c r="J69" s="817"/>
      <c r="K69" s="880"/>
      <c r="L69" s="880">
        <f>L68/D57</f>
        <v>0.43084260731319557</v>
      </c>
      <c r="M69" s="880">
        <f>M68/E57</f>
        <v>0.49440048691418137</v>
      </c>
      <c r="N69" s="880"/>
      <c r="O69" s="814"/>
      <c r="P69" s="811"/>
      <c r="Q69" s="814"/>
      <c r="R69" s="550"/>
      <c r="V69" s="829"/>
      <c r="W69" s="616">
        <f>SUM(W64:W68)</f>
        <v>9.6</v>
      </c>
      <c r="X69" s="893"/>
      <c r="Y69" s="893">
        <f t="shared" ref="Y69:Z69" si="24">SUM(Y64:Y68)</f>
        <v>1503.9034811477541</v>
      </c>
      <c r="Z69" s="893">
        <f t="shared" si="24"/>
        <v>0</v>
      </c>
      <c r="AA69" s="811"/>
      <c r="AB69" s="811"/>
      <c r="AC69" s="811"/>
      <c r="AD69" s="829"/>
      <c r="AE69" s="817"/>
      <c r="AF69" s="817"/>
    </row>
    <row r="70" spans="2:32" ht="15.95" customHeight="1">
      <c r="O70" s="811"/>
      <c r="Q70" s="550"/>
      <c r="V70" s="829"/>
      <c r="W70" s="811"/>
      <c r="X70" s="811"/>
      <c r="Y70" s="811"/>
      <c r="Z70" s="811"/>
      <c r="AA70" s="811"/>
      <c r="AB70" s="811"/>
      <c r="AC70" s="811"/>
      <c r="AD70" s="829"/>
      <c r="AE70" s="817"/>
      <c r="AF70" s="817"/>
    </row>
    <row r="71" spans="2:32" ht="15.95" customHeight="1">
      <c r="B71" s="543" t="s">
        <v>711</v>
      </c>
      <c r="C71" s="562"/>
      <c r="D71" s="562"/>
      <c r="E71" s="562"/>
      <c r="F71" s="549"/>
      <c r="G71" s="549"/>
      <c r="H71" s="850"/>
      <c r="O71" s="811"/>
      <c r="P71" s="811"/>
      <c r="Q71" s="830"/>
      <c r="R71" s="830"/>
      <c r="S71" s="830"/>
      <c r="T71" s="830"/>
      <c r="U71" s="564"/>
      <c r="V71" s="829"/>
      <c r="W71" s="873"/>
      <c r="X71" s="873"/>
      <c r="Y71" s="873"/>
      <c r="Z71" s="873"/>
      <c r="AA71" s="829"/>
      <c r="AB71" s="829"/>
      <c r="AC71" s="829"/>
      <c r="AD71" s="829"/>
    </row>
    <row r="72" spans="2:32" ht="15.95" customHeight="1">
      <c r="B72" s="161" t="s">
        <v>750</v>
      </c>
      <c r="E72" s="566"/>
      <c r="H72" s="851"/>
      <c r="J72" s="578" t="s">
        <v>828</v>
      </c>
      <c r="K72" s="550"/>
      <c r="L72" s="550"/>
      <c r="M72" s="550"/>
      <c r="N72" s="550"/>
      <c r="O72" s="811"/>
      <c r="P72" s="619"/>
      <c r="Q72" s="811"/>
      <c r="R72" s="811"/>
      <c r="S72" s="811"/>
      <c r="T72" s="811"/>
      <c r="U72" s="811"/>
      <c r="V72" s="829"/>
      <c r="W72" s="873"/>
      <c r="X72" s="873"/>
      <c r="Y72" s="829"/>
      <c r="Z72" s="829"/>
      <c r="AA72" s="829"/>
      <c r="AB72" s="829"/>
      <c r="AC72" s="829"/>
      <c r="AD72" s="829"/>
    </row>
    <row r="73" spans="2:32" ht="15.95" customHeight="1">
      <c r="C73" s="161" t="s">
        <v>1070</v>
      </c>
      <c r="D73" s="566"/>
      <c r="J73" s="168"/>
      <c r="L73" s="162" t="s">
        <v>1</v>
      </c>
      <c r="M73" s="162" t="s">
        <v>2</v>
      </c>
      <c r="N73" s="550"/>
      <c r="O73" s="811"/>
      <c r="P73" s="619"/>
      <c r="Q73" s="829"/>
      <c r="R73" s="829"/>
      <c r="S73" s="829"/>
      <c r="T73" s="829"/>
      <c r="U73" s="829"/>
      <c r="V73" s="817"/>
      <c r="W73" s="817"/>
      <c r="X73" s="872"/>
      <c r="Y73" s="817"/>
      <c r="Z73" s="872"/>
      <c r="AA73" s="817"/>
      <c r="AB73" s="817"/>
      <c r="AC73" s="817"/>
      <c r="AD73" s="811"/>
    </row>
    <row r="74" spans="2:32" ht="15.95" customHeight="1">
      <c r="B74" s="161"/>
      <c r="C74" s="566" t="s">
        <v>0</v>
      </c>
      <c r="J74" s="169" t="s">
        <v>7</v>
      </c>
      <c r="K74" s="818"/>
      <c r="L74" s="818">
        <f t="shared" ref="L74:M76" si="25">L54/D8</f>
        <v>80.007259953161594</v>
      </c>
      <c r="M74" s="818">
        <f t="shared" si="25"/>
        <v>107.96627634660422</v>
      </c>
      <c r="N74" s="550"/>
      <c r="O74" s="811"/>
      <c r="P74" s="811"/>
      <c r="Q74" s="811"/>
      <c r="R74" s="811"/>
      <c r="S74" s="811"/>
      <c r="T74" s="811"/>
      <c r="U74" s="811"/>
      <c r="V74" s="811"/>
      <c r="W74" s="604"/>
      <c r="X74" s="604"/>
      <c r="Y74" s="604"/>
      <c r="Z74" s="604"/>
      <c r="AA74" s="811"/>
      <c r="AB74" s="811"/>
      <c r="AC74" s="811"/>
      <c r="AD74" s="811"/>
    </row>
    <row r="75" spans="2:32" ht="15.95" customHeight="1">
      <c r="B75" s="169" t="s">
        <v>7</v>
      </c>
      <c r="C75" s="170">
        <f>Unreserved!C15</f>
        <v>23200</v>
      </c>
      <c r="J75" s="169" t="s">
        <v>8</v>
      </c>
      <c r="K75" s="618"/>
      <c r="L75" s="618">
        <f>L55/D9</f>
        <v>45.686104605776741</v>
      </c>
      <c r="M75" s="618">
        <f>M55/E9</f>
        <v>61.842622950819674</v>
      </c>
      <c r="N75" s="550"/>
      <c r="O75" s="811"/>
      <c r="P75" s="811"/>
      <c r="Q75" s="811"/>
      <c r="R75" s="811"/>
      <c r="S75" s="811"/>
      <c r="T75" s="811"/>
      <c r="U75" s="811"/>
      <c r="V75" s="811"/>
      <c r="W75" s="604"/>
      <c r="X75" s="604"/>
      <c r="Y75" s="604"/>
      <c r="Z75" s="604"/>
      <c r="AA75" s="811"/>
      <c r="AB75" s="811"/>
      <c r="AC75" s="811"/>
      <c r="AD75" s="811"/>
    </row>
    <row r="76" spans="2:32" ht="15.95" customHeight="1">
      <c r="B76" s="169" t="s">
        <v>8</v>
      </c>
      <c r="C76" s="170">
        <f>Unreserved!D15</f>
        <v>1500</v>
      </c>
      <c r="J76" s="169" t="s">
        <v>272</v>
      </c>
      <c r="K76" s="618"/>
      <c r="L76" s="618">
        <f t="shared" si="25"/>
        <v>1.8659168890583304</v>
      </c>
      <c r="M76" s="618">
        <f t="shared" si="25"/>
        <v>7.7645317066971673</v>
      </c>
      <c r="N76" s="550"/>
      <c r="O76" s="811"/>
      <c r="P76" s="811"/>
      <c r="Q76" s="811"/>
      <c r="R76" s="811"/>
      <c r="S76" s="811"/>
      <c r="T76" s="811"/>
      <c r="U76" s="811"/>
      <c r="V76" s="811"/>
      <c r="W76" s="604"/>
      <c r="X76" s="604"/>
      <c r="Y76" s="604"/>
      <c r="Z76" s="604"/>
      <c r="AA76" s="811"/>
      <c r="AB76" s="811"/>
      <c r="AC76" s="811"/>
      <c r="AD76" s="811"/>
    </row>
    <row r="77" spans="2:32" ht="15.95" customHeight="1">
      <c r="B77" s="169" t="s">
        <v>272</v>
      </c>
      <c r="C77" s="170">
        <f>Unreserved!E15</f>
        <v>900</v>
      </c>
      <c r="E77" s="162" t="s">
        <v>36</v>
      </c>
      <c r="J77" s="568" t="s">
        <v>1067</v>
      </c>
      <c r="K77" s="618"/>
      <c r="L77" s="618">
        <f>L57/D7</f>
        <v>10.403224043715847</v>
      </c>
      <c r="M77" s="618">
        <f>M57/E7</f>
        <v>18.564120218579234</v>
      </c>
      <c r="N77" s="550"/>
      <c r="O77" s="811"/>
      <c r="P77" s="811"/>
      <c r="Q77" s="811"/>
      <c r="R77" s="811"/>
      <c r="S77" s="811"/>
      <c r="T77" s="811"/>
      <c r="U77" s="811"/>
      <c r="V77" s="811"/>
      <c r="W77" s="604"/>
      <c r="X77" s="604"/>
      <c r="Y77" s="604"/>
      <c r="Z77" s="604"/>
      <c r="AA77" s="811"/>
      <c r="AB77" s="811"/>
      <c r="AC77" s="811"/>
      <c r="AD77" s="811"/>
    </row>
    <row r="78" spans="2:32" ht="15.95" customHeight="1">
      <c r="B78" s="568" t="s">
        <v>3</v>
      </c>
      <c r="C78" s="170">
        <f>SUM(C75:C77)</f>
        <v>25600</v>
      </c>
      <c r="E78" s="572"/>
      <c r="F78" s="572"/>
      <c r="G78" s="572"/>
      <c r="H78" s="852"/>
      <c r="J78" s="177"/>
      <c r="K78" s="550"/>
      <c r="L78" s="550"/>
      <c r="M78" s="550"/>
      <c r="N78" s="550"/>
      <c r="W78" s="604"/>
      <c r="X78" s="604"/>
      <c r="Y78" s="604"/>
      <c r="Z78" s="604"/>
    </row>
    <row r="79" spans="2:32" ht="15.95" customHeight="1">
      <c r="B79" s="169"/>
      <c r="C79" s="572"/>
      <c r="D79" s="572"/>
      <c r="E79" s="572"/>
      <c r="F79" s="572"/>
      <c r="G79" s="572"/>
      <c r="H79" s="852"/>
      <c r="J79" s="568" t="s">
        <v>1075</v>
      </c>
      <c r="K79" s="618"/>
      <c r="L79" s="618">
        <f>L57/D12</f>
        <v>6.9354826958105651</v>
      </c>
      <c r="M79" s="618">
        <f>M57/E12</f>
        <v>12.37608014571949</v>
      </c>
      <c r="N79" s="550"/>
      <c r="W79" s="604"/>
      <c r="X79" s="604"/>
      <c r="Y79" s="604"/>
      <c r="Z79" s="604"/>
    </row>
    <row r="80" spans="2:32" ht="15.95" customHeight="1">
      <c r="B80" s="168"/>
      <c r="F80" s="579"/>
      <c r="G80" s="171"/>
      <c r="H80" s="853"/>
      <c r="I80" s="171"/>
      <c r="W80" s="604"/>
      <c r="X80" s="604"/>
      <c r="Y80" s="604"/>
      <c r="Z80" s="604"/>
    </row>
    <row r="81" spans="2:26" ht="15.95" customHeight="1">
      <c r="B81" s="161"/>
      <c r="D81" s="164"/>
      <c r="E81" s="164"/>
      <c r="F81" s="579"/>
      <c r="G81" s="173"/>
      <c r="H81" s="854"/>
      <c r="I81" s="173"/>
      <c r="J81" s="173"/>
      <c r="K81" s="555"/>
      <c r="W81" s="604"/>
      <c r="X81" s="604"/>
      <c r="Y81" s="604"/>
      <c r="Z81" s="604"/>
    </row>
    <row r="82" spans="2:26" ht="15.95" customHeight="1">
      <c r="B82" s="169"/>
      <c r="C82" s="553"/>
      <c r="D82" s="164"/>
      <c r="E82" s="554"/>
      <c r="F82" s="173"/>
      <c r="G82" s="173"/>
      <c r="H82" s="854"/>
      <c r="I82" s="173"/>
      <c r="J82" s="173"/>
      <c r="K82" s="555"/>
      <c r="W82" s="604"/>
      <c r="X82" s="604"/>
      <c r="Y82" s="604"/>
      <c r="Z82" s="604"/>
    </row>
    <row r="83" spans="2:26" ht="15.95" customHeight="1">
      <c r="B83" s="169"/>
      <c r="C83" s="556"/>
      <c r="D83" s="176"/>
      <c r="E83" s="557"/>
      <c r="F83" s="173"/>
      <c r="G83" s="173"/>
      <c r="H83" s="854"/>
      <c r="I83" s="173"/>
      <c r="J83" s="173"/>
      <c r="W83" s="604"/>
      <c r="X83" s="604"/>
      <c r="Y83" s="604"/>
      <c r="Z83" s="604"/>
    </row>
    <row r="84" spans="2:26" ht="15.95" customHeight="1">
      <c r="B84" s="169"/>
      <c r="C84" s="553"/>
      <c r="D84" s="164"/>
      <c r="E84" s="558"/>
      <c r="W84" s="604"/>
      <c r="X84" s="604"/>
      <c r="Y84" s="604"/>
      <c r="Z84" s="604"/>
    </row>
    <row r="85" spans="2:26" ht="15.95" customHeight="1">
      <c r="B85" s="177"/>
      <c r="C85" s="553"/>
      <c r="D85" s="164"/>
      <c r="E85" s="558"/>
      <c r="W85" s="604"/>
      <c r="X85" s="604"/>
      <c r="Y85" s="604"/>
      <c r="Z85" s="604"/>
    </row>
    <row r="86" spans="2:26" ht="15.95" customHeight="1">
      <c r="B86" s="168"/>
      <c r="C86" s="553"/>
      <c r="D86" s="164"/>
      <c r="E86" s="558"/>
      <c r="W86" s="604"/>
      <c r="X86" s="604"/>
      <c r="Y86" s="604"/>
      <c r="Z86" s="604"/>
    </row>
    <row r="87" spans="2:26" ht="15.95" customHeight="1">
      <c r="B87" s="177"/>
      <c r="C87" s="168"/>
      <c r="F87" s="168"/>
      <c r="G87" s="168"/>
      <c r="W87" s="604"/>
      <c r="X87" s="604"/>
      <c r="Y87" s="604"/>
      <c r="Z87" s="604"/>
    </row>
    <row r="88" spans="2:26" ht="15.95" customHeight="1">
      <c r="B88" s="177"/>
      <c r="C88" s="559"/>
      <c r="D88" s="559"/>
      <c r="E88" s="559"/>
      <c r="F88" s="552"/>
      <c r="G88" s="552"/>
      <c r="H88" s="855"/>
      <c r="J88" s="552"/>
    </row>
    <row r="89" spans="2:26" ht="15.95" customHeight="1">
      <c r="D89" s="551"/>
    </row>
    <row r="90" spans="2:26" ht="13.9" customHeight="1">
      <c r="B90" s="169"/>
      <c r="C90" s="553"/>
      <c r="D90" s="164"/>
      <c r="E90" s="178"/>
      <c r="F90" s="173"/>
      <c r="G90" s="173"/>
      <c r="H90" s="854"/>
      <c r="I90" s="173"/>
      <c r="J90" s="173"/>
      <c r="K90" s="555"/>
    </row>
    <row r="91" spans="2:26" ht="13.9" customHeight="1">
      <c r="B91" s="169"/>
      <c r="C91" s="172"/>
      <c r="D91" s="164"/>
      <c r="E91" s="178"/>
      <c r="F91" s="173"/>
      <c r="G91" s="173"/>
      <c r="H91" s="854"/>
      <c r="I91" s="173"/>
      <c r="J91" s="173"/>
      <c r="K91" s="174"/>
    </row>
    <row r="92" spans="2:26" ht="15.6" customHeight="1">
      <c r="B92" s="169"/>
      <c r="C92" s="175"/>
      <c r="D92" s="176"/>
      <c r="E92" s="179"/>
      <c r="F92" s="173"/>
      <c r="G92" s="173"/>
      <c r="H92" s="854"/>
      <c r="I92" s="173"/>
      <c r="J92" s="173"/>
    </row>
    <row r="93" spans="2:26" ht="13.9" customHeight="1">
      <c r="B93" s="169"/>
      <c r="C93" s="172"/>
      <c r="D93" s="164"/>
      <c r="E93" s="180"/>
      <c r="K93" s="181"/>
      <c r="L93" s="181"/>
      <c r="M93" s="181"/>
    </row>
    <row r="94" spans="2:26" ht="13.9" customHeight="1">
      <c r="B94" s="182"/>
    </row>
    <row r="95" spans="2:26">
      <c r="B95" s="183"/>
      <c r="C95" s="164"/>
      <c r="D95" s="164"/>
      <c r="E95" s="164"/>
      <c r="F95" s="163"/>
      <c r="G95" s="163"/>
      <c r="H95" s="853"/>
    </row>
    <row r="96" spans="2:26">
      <c r="B96" s="165"/>
      <c r="C96" s="164"/>
      <c r="D96" s="164"/>
      <c r="E96" s="164"/>
      <c r="F96" s="163"/>
      <c r="G96" s="163"/>
      <c r="H96" s="853"/>
    </row>
    <row r="97" spans="2:5">
      <c r="B97" s="166"/>
      <c r="C97" s="163"/>
      <c r="D97" s="163"/>
      <c r="E97" s="167"/>
    </row>
  </sheetData>
  <phoneticPr fontId="24" type="noConversion"/>
  <pageMargins left="0.7" right="0.7" top="0.75" bottom="0.75" header="0.3" footer="0.3"/>
  <pageSetup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F6D8-0361-43E3-AD78-9D2DD0941622}">
  <dimension ref="B1:AX70"/>
  <sheetViews>
    <sheetView topLeftCell="D1" zoomScale="48" zoomScaleNormal="48" workbookViewId="0">
      <selection activeCell="Q1" sqref="Q1:AX1048576"/>
    </sheetView>
  </sheetViews>
  <sheetFormatPr defaultRowHeight="15.75"/>
  <cols>
    <col min="1" max="1" width="2.5" style="661" customWidth="1"/>
    <col min="2" max="2" width="8.75" style="663" customWidth="1"/>
    <col min="3" max="3" width="47" style="661" customWidth="1"/>
    <col min="4" max="4" width="10.625" style="661" customWidth="1"/>
    <col min="5" max="5" width="12.5" style="661" customWidth="1"/>
    <col min="6" max="6" width="7.875" style="661" customWidth="1"/>
    <col min="7" max="7" width="9.375" style="661" customWidth="1"/>
    <col min="8" max="8" width="13" style="661" customWidth="1"/>
    <col min="9" max="9" width="7.5" style="661" customWidth="1"/>
    <col min="10" max="10" width="8" style="661" customWidth="1"/>
    <col min="11" max="11" width="12.5" style="661" customWidth="1"/>
    <col min="12" max="12" width="8.25" style="661" customWidth="1"/>
    <col min="13" max="13" width="9" style="661"/>
    <col min="14" max="14" width="12" style="661" customWidth="1"/>
    <col min="15" max="15" width="9.25" style="661" customWidth="1"/>
    <col min="16" max="16" width="9" style="661"/>
    <col min="17" max="50" width="9" style="693"/>
    <col min="51" max="16384" width="9" style="661"/>
  </cols>
  <sheetData>
    <row r="1" spans="2:17" ht="24" customHeight="1">
      <c r="B1" s="723" t="s">
        <v>967</v>
      </c>
      <c r="C1" s="724"/>
      <c r="D1" s="724"/>
      <c r="E1" s="724"/>
      <c r="F1" s="724"/>
      <c r="G1" s="724"/>
      <c r="H1" s="724"/>
      <c r="I1" s="724"/>
      <c r="J1" s="724"/>
      <c r="K1" s="724"/>
      <c r="L1" s="724"/>
      <c r="M1" s="724"/>
      <c r="N1" s="724"/>
      <c r="O1" s="724"/>
    </row>
    <row r="2" spans="2:17">
      <c r="B2" s="662"/>
    </row>
    <row r="3" spans="2:17">
      <c r="D3" s="664" t="s">
        <v>168</v>
      </c>
      <c r="E3" s="663"/>
      <c r="G3" s="665" t="s">
        <v>4</v>
      </c>
      <c r="H3" s="665"/>
      <c r="I3" s="665"/>
      <c r="J3" s="665" t="s">
        <v>5</v>
      </c>
      <c r="K3" s="665"/>
      <c r="L3" s="665"/>
      <c r="M3" s="664" t="s">
        <v>272</v>
      </c>
      <c r="N3" s="665"/>
      <c r="O3" s="665"/>
    </row>
    <row r="4" spans="2:17" ht="25.5">
      <c r="B4" s="661"/>
      <c r="D4" s="666" t="s">
        <v>1</v>
      </c>
      <c r="E4" s="666" t="s">
        <v>910</v>
      </c>
      <c r="F4" s="666" t="s">
        <v>911</v>
      </c>
      <c r="G4" s="666" t="s">
        <v>1</v>
      </c>
      <c r="H4" s="666" t="s">
        <v>910</v>
      </c>
      <c r="I4" s="666" t="s">
        <v>911</v>
      </c>
      <c r="J4" s="666" t="s">
        <v>1</v>
      </c>
      <c r="K4" s="666" t="s">
        <v>910</v>
      </c>
      <c r="L4" s="666" t="s">
        <v>911</v>
      </c>
      <c r="M4" s="666" t="s">
        <v>1</v>
      </c>
      <c r="N4" s="666" t="s">
        <v>910</v>
      </c>
      <c r="O4" s="666" t="s">
        <v>911</v>
      </c>
    </row>
    <row r="5" spans="2:17">
      <c r="C5" s="667" t="s">
        <v>912</v>
      </c>
      <c r="D5" s="668"/>
      <c r="E5" s="668"/>
      <c r="F5" s="668"/>
      <c r="G5" s="668"/>
      <c r="H5" s="668"/>
      <c r="I5" s="669"/>
    </row>
    <row r="6" spans="2:17">
      <c r="C6" s="705" t="s">
        <v>962</v>
      </c>
      <c r="D6" s="668"/>
      <c r="E6" s="668"/>
      <c r="F6" s="668"/>
      <c r="G6" s="668"/>
      <c r="H6" s="668"/>
      <c r="I6" s="669"/>
    </row>
    <row r="7" spans="2:17">
      <c r="C7" s="664" t="s">
        <v>913</v>
      </c>
      <c r="F7" s="663"/>
      <c r="G7" s="663"/>
      <c r="H7" s="663"/>
      <c r="I7" s="663"/>
    </row>
    <row r="8" spans="2:17">
      <c r="B8" s="663" t="s">
        <v>13</v>
      </c>
      <c r="C8" s="661" t="s">
        <v>914</v>
      </c>
      <c r="D8" s="670">
        <v>6406</v>
      </c>
      <c r="E8" s="670">
        <v>6582</v>
      </c>
      <c r="F8" s="670">
        <v>0</v>
      </c>
      <c r="G8" s="670">
        <v>3845</v>
      </c>
      <c r="H8" s="670">
        <v>2926</v>
      </c>
      <c r="I8" s="670">
        <v>0</v>
      </c>
      <c r="J8" s="670">
        <v>1636</v>
      </c>
      <c r="K8" s="670">
        <v>1264</v>
      </c>
      <c r="L8" s="670">
        <v>0</v>
      </c>
      <c r="M8" s="670">
        <v>925</v>
      </c>
      <c r="N8" s="670">
        <v>2392</v>
      </c>
      <c r="O8" s="670">
        <v>0</v>
      </c>
    </row>
    <row r="9" spans="2:17">
      <c r="B9" s="663" t="s">
        <v>14</v>
      </c>
      <c r="C9" s="661" t="s">
        <v>915</v>
      </c>
      <c r="D9" s="670">
        <v>2819</v>
      </c>
      <c r="E9" s="670">
        <v>545</v>
      </c>
      <c r="F9" s="670">
        <v>0</v>
      </c>
      <c r="G9" s="670">
        <v>1663</v>
      </c>
      <c r="H9" s="670">
        <v>98</v>
      </c>
      <c r="I9" s="670">
        <v>0</v>
      </c>
      <c r="J9" s="670">
        <v>725</v>
      </c>
      <c r="K9" s="670">
        <v>217</v>
      </c>
      <c r="L9" s="670">
        <v>0</v>
      </c>
      <c r="M9" s="670">
        <v>431</v>
      </c>
      <c r="N9" s="670">
        <v>230</v>
      </c>
      <c r="O9" s="670">
        <v>0</v>
      </c>
    </row>
    <row r="10" spans="2:17">
      <c r="B10" s="663" t="s">
        <v>15</v>
      </c>
      <c r="C10" s="661" t="s">
        <v>916</v>
      </c>
      <c r="D10" s="670">
        <v>62</v>
      </c>
      <c r="E10" s="670">
        <v>13</v>
      </c>
      <c r="F10" s="670">
        <v>0</v>
      </c>
      <c r="G10" s="670">
        <v>46</v>
      </c>
      <c r="H10" s="670">
        <v>6</v>
      </c>
      <c r="I10" s="670">
        <v>0</v>
      </c>
      <c r="J10" s="670">
        <v>5</v>
      </c>
      <c r="K10" s="670">
        <v>1</v>
      </c>
      <c r="L10" s="670">
        <v>0</v>
      </c>
      <c r="M10" s="670">
        <v>11</v>
      </c>
      <c r="N10" s="670">
        <v>6</v>
      </c>
      <c r="O10" s="670">
        <v>0</v>
      </c>
    </row>
    <row r="11" spans="2:17">
      <c r="C11" s="664" t="s">
        <v>917</v>
      </c>
      <c r="D11" s="670"/>
      <c r="E11" s="670"/>
      <c r="F11" s="670"/>
      <c r="G11" s="670"/>
      <c r="H11" s="670"/>
      <c r="I11" s="670"/>
      <c r="J11" s="670"/>
      <c r="K11" s="670"/>
      <c r="L11" s="670"/>
      <c r="M11" s="670"/>
      <c r="N11" s="670"/>
      <c r="O11" s="670"/>
    </row>
    <row r="12" spans="2:17">
      <c r="B12" s="663" t="s">
        <v>918</v>
      </c>
      <c r="C12" s="661" t="s">
        <v>919</v>
      </c>
      <c r="D12" s="670">
        <v>2398</v>
      </c>
      <c r="E12" s="670">
        <v>1628</v>
      </c>
      <c r="F12" s="670">
        <v>0</v>
      </c>
      <c r="G12" s="670">
        <v>1269</v>
      </c>
      <c r="H12" s="670">
        <v>664</v>
      </c>
      <c r="I12" s="670">
        <v>0</v>
      </c>
      <c r="J12" s="670">
        <v>841</v>
      </c>
      <c r="K12" s="670">
        <v>415</v>
      </c>
      <c r="L12" s="670">
        <v>0</v>
      </c>
      <c r="M12" s="670">
        <v>288</v>
      </c>
      <c r="N12" s="670">
        <v>549</v>
      </c>
      <c r="O12" s="670">
        <v>0</v>
      </c>
    </row>
    <row r="13" spans="2:17">
      <c r="B13" s="663" t="s">
        <v>920</v>
      </c>
      <c r="C13" s="661" t="s">
        <v>921</v>
      </c>
      <c r="D13" s="670">
        <v>1693</v>
      </c>
      <c r="E13" s="670">
        <v>194</v>
      </c>
      <c r="F13" s="670">
        <v>0</v>
      </c>
      <c r="G13" s="670">
        <v>934</v>
      </c>
      <c r="H13" s="670">
        <v>19</v>
      </c>
      <c r="I13" s="670">
        <v>0</v>
      </c>
      <c r="J13" s="670">
        <v>477</v>
      </c>
      <c r="K13" s="670">
        <v>105</v>
      </c>
      <c r="L13" s="670">
        <v>0</v>
      </c>
      <c r="M13" s="670">
        <v>282</v>
      </c>
      <c r="N13" s="670">
        <v>70</v>
      </c>
      <c r="O13" s="670">
        <v>0</v>
      </c>
    </row>
    <row r="14" spans="2:17">
      <c r="C14" s="671" t="s">
        <v>922</v>
      </c>
      <c r="D14" s="670"/>
      <c r="E14" s="670"/>
      <c r="F14" s="670"/>
      <c r="G14" s="670"/>
      <c r="H14" s="670"/>
      <c r="I14" s="670"/>
      <c r="J14" s="670"/>
      <c r="K14" s="670"/>
      <c r="L14" s="670"/>
      <c r="M14" s="670"/>
      <c r="N14" s="670"/>
      <c r="O14" s="670"/>
    </row>
    <row r="15" spans="2:17">
      <c r="C15" s="705" t="s">
        <v>987</v>
      </c>
      <c r="D15" s="670"/>
      <c r="E15" s="670"/>
      <c r="F15" s="670"/>
      <c r="G15" s="670"/>
      <c r="H15" s="670"/>
      <c r="I15" s="670"/>
      <c r="J15" s="670"/>
      <c r="K15" s="670"/>
      <c r="L15" s="670"/>
      <c r="M15" s="670"/>
      <c r="N15" s="670"/>
      <c r="O15" s="670"/>
    </row>
    <row r="16" spans="2:17">
      <c r="B16" s="663" t="s">
        <v>923</v>
      </c>
      <c r="C16" s="661" t="s">
        <v>924</v>
      </c>
      <c r="D16" s="670">
        <f>ROUND(D12,-1)</f>
        <v>2400</v>
      </c>
      <c r="E16" s="670">
        <f>ROUND(E12,-1)</f>
        <v>1630</v>
      </c>
      <c r="F16" s="670">
        <f>Infra!M34</f>
        <v>529</v>
      </c>
      <c r="G16" s="670">
        <f>ROUND(G12,-1)</f>
        <v>1270</v>
      </c>
      <c r="H16" s="670">
        <f>ROUND(H12,-1)</f>
        <v>660</v>
      </c>
      <c r="I16" s="670">
        <f>Infra!M31</f>
        <v>211.60000000000002</v>
      </c>
      <c r="J16" s="670">
        <f>ROUND(J12,-1)</f>
        <v>840</v>
      </c>
      <c r="K16" s="670">
        <f>ROUND(K12,-1)</f>
        <v>420</v>
      </c>
      <c r="L16" s="670">
        <f>Infra!M32</f>
        <v>105.80000000000001</v>
      </c>
      <c r="M16" s="670">
        <f>ROUND(M12,-1)</f>
        <v>290</v>
      </c>
      <c r="N16" s="670">
        <f>ROUND(N12,-1)</f>
        <v>550</v>
      </c>
      <c r="O16" s="670">
        <f>Infra!M33</f>
        <v>211.60000000000002</v>
      </c>
      <c r="Q16" s="834"/>
    </row>
    <row r="17" spans="2:15">
      <c r="B17" s="663" t="s">
        <v>925</v>
      </c>
      <c r="C17" s="661" t="s">
        <v>926</v>
      </c>
      <c r="D17" s="670">
        <f>ROUND(D13,-1)</f>
        <v>1690</v>
      </c>
      <c r="E17" s="670">
        <f>ROUND(E13,-1)</f>
        <v>190</v>
      </c>
      <c r="F17" s="670">
        <f>Infra!N34</f>
        <v>130</v>
      </c>
      <c r="G17" s="670">
        <f>ROUND(G13,-1)</f>
        <v>930</v>
      </c>
      <c r="H17" s="670">
        <f>ROUND(H13,-1)</f>
        <v>20</v>
      </c>
      <c r="I17" s="670">
        <f>Infra!N31</f>
        <v>30</v>
      </c>
      <c r="J17" s="670">
        <f>ROUND(J13,-1)</f>
        <v>480</v>
      </c>
      <c r="K17" s="670">
        <f>ROUND(K13,-1)</f>
        <v>110</v>
      </c>
      <c r="L17" s="670">
        <f>Infra!N32</f>
        <v>20</v>
      </c>
      <c r="M17" s="670">
        <f>ROUND(M13,-1)</f>
        <v>280</v>
      </c>
      <c r="N17" s="670">
        <f>ROUND(N13,-1)</f>
        <v>70</v>
      </c>
      <c r="O17" s="670">
        <f>Infra!N33</f>
        <v>80</v>
      </c>
    </row>
    <row r="18" spans="2:15">
      <c r="C18" s="671" t="s">
        <v>927</v>
      </c>
      <c r="D18" s="670"/>
      <c r="E18" s="670"/>
      <c r="F18" s="670"/>
      <c r="G18" s="670"/>
      <c r="H18" s="670"/>
      <c r="I18" s="670"/>
      <c r="J18" s="670"/>
      <c r="K18" s="670"/>
      <c r="L18" s="670"/>
      <c r="M18" s="670"/>
      <c r="N18" s="670"/>
      <c r="O18" s="670"/>
    </row>
    <row r="19" spans="2:15">
      <c r="B19" s="663" t="s">
        <v>928</v>
      </c>
      <c r="C19" s="661" t="s">
        <v>929</v>
      </c>
      <c r="D19" s="670">
        <f t="shared" ref="D19:O19" si="0">ROUND(D8,-2)+D16</f>
        <v>8800</v>
      </c>
      <c r="E19" s="670">
        <f t="shared" si="0"/>
        <v>8230</v>
      </c>
      <c r="F19" s="670">
        <f t="shared" si="0"/>
        <v>529</v>
      </c>
      <c r="G19" s="670">
        <f t="shared" si="0"/>
        <v>5070</v>
      </c>
      <c r="H19" s="670">
        <f t="shared" si="0"/>
        <v>3560</v>
      </c>
      <c r="I19" s="670">
        <f t="shared" si="0"/>
        <v>211.60000000000002</v>
      </c>
      <c r="J19" s="670">
        <f t="shared" si="0"/>
        <v>2440</v>
      </c>
      <c r="K19" s="670">
        <f t="shared" si="0"/>
        <v>1720</v>
      </c>
      <c r="L19" s="670">
        <f t="shared" si="0"/>
        <v>105.80000000000001</v>
      </c>
      <c r="M19" s="670">
        <f t="shared" si="0"/>
        <v>1190</v>
      </c>
      <c r="N19" s="670">
        <f t="shared" si="0"/>
        <v>2950</v>
      </c>
      <c r="O19" s="670">
        <f t="shared" si="0"/>
        <v>211.60000000000002</v>
      </c>
    </row>
    <row r="20" spans="2:15">
      <c r="B20" s="663" t="s">
        <v>930</v>
      </c>
      <c r="C20" s="661" t="s">
        <v>931</v>
      </c>
      <c r="D20" s="670">
        <f t="shared" ref="D20:O20" si="1">ROUND(D9,-2)+D17</f>
        <v>4490</v>
      </c>
      <c r="E20" s="670">
        <f t="shared" si="1"/>
        <v>690</v>
      </c>
      <c r="F20" s="670">
        <f t="shared" si="1"/>
        <v>130</v>
      </c>
      <c r="G20" s="670">
        <f t="shared" si="1"/>
        <v>2630</v>
      </c>
      <c r="H20" s="670">
        <f t="shared" si="1"/>
        <v>120</v>
      </c>
      <c r="I20" s="670">
        <f t="shared" si="1"/>
        <v>30</v>
      </c>
      <c r="J20" s="670">
        <f t="shared" si="1"/>
        <v>1180</v>
      </c>
      <c r="K20" s="670">
        <f t="shared" si="1"/>
        <v>310</v>
      </c>
      <c r="L20" s="670">
        <f t="shared" si="1"/>
        <v>20</v>
      </c>
      <c r="M20" s="670">
        <f t="shared" si="1"/>
        <v>680</v>
      </c>
      <c r="N20" s="670">
        <f t="shared" si="1"/>
        <v>270</v>
      </c>
      <c r="O20" s="670">
        <f t="shared" si="1"/>
        <v>80</v>
      </c>
    </row>
    <row r="21" spans="2:15">
      <c r="C21" s="671" t="s">
        <v>932</v>
      </c>
      <c r="D21" s="670"/>
      <c r="E21" s="670"/>
      <c r="F21" s="670"/>
      <c r="G21" s="670"/>
      <c r="H21" s="670"/>
      <c r="I21" s="670"/>
      <c r="J21" s="670"/>
      <c r="K21" s="670"/>
      <c r="L21" s="670"/>
      <c r="M21" s="670"/>
      <c r="N21" s="670"/>
      <c r="O21" s="670"/>
    </row>
    <row r="22" spans="2:15">
      <c r="B22" s="663" t="s">
        <v>933</v>
      </c>
      <c r="C22" s="661" t="s">
        <v>934</v>
      </c>
      <c r="D22" s="670">
        <f t="shared" ref="D22:O23" si="2">D19*2</f>
        <v>17600</v>
      </c>
      <c r="E22" s="670">
        <f t="shared" si="2"/>
        <v>16460</v>
      </c>
      <c r="F22" s="670">
        <f t="shared" si="2"/>
        <v>1058</v>
      </c>
      <c r="G22" s="670">
        <f t="shared" si="2"/>
        <v>10140</v>
      </c>
      <c r="H22" s="670">
        <f t="shared" si="2"/>
        <v>7120</v>
      </c>
      <c r="I22" s="670">
        <f t="shared" si="2"/>
        <v>423.20000000000005</v>
      </c>
      <c r="J22" s="670">
        <f t="shared" si="2"/>
        <v>4880</v>
      </c>
      <c r="K22" s="670">
        <f t="shared" si="2"/>
        <v>3440</v>
      </c>
      <c r="L22" s="670">
        <f t="shared" si="2"/>
        <v>211.60000000000002</v>
      </c>
      <c r="M22" s="670">
        <f t="shared" si="2"/>
        <v>2380</v>
      </c>
      <c r="N22" s="670">
        <f t="shared" si="2"/>
        <v>5900</v>
      </c>
      <c r="O22" s="670">
        <f t="shared" si="2"/>
        <v>423.20000000000005</v>
      </c>
    </row>
    <row r="23" spans="2:15">
      <c r="B23" s="663" t="s">
        <v>935</v>
      </c>
      <c r="C23" s="661" t="s">
        <v>936</v>
      </c>
      <c r="D23" s="670">
        <f t="shared" si="2"/>
        <v>8980</v>
      </c>
      <c r="E23" s="670">
        <f t="shared" si="2"/>
        <v>1380</v>
      </c>
      <c r="F23" s="670">
        <f t="shared" si="2"/>
        <v>260</v>
      </c>
      <c r="G23" s="670">
        <f t="shared" si="2"/>
        <v>5260</v>
      </c>
      <c r="H23" s="670">
        <f t="shared" si="2"/>
        <v>240</v>
      </c>
      <c r="I23" s="670">
        <f t="shared" si="2"/>
        <v>60</v>
      </c>
      <c r="J23" s="670">
        <f t="shared" si="2"/>
        <v>2360</v>
      </c>
      <c r="K23" s="670">
        <f t="shared" si="2"/>
        <v>620</v>
      </c>
      <c r="L23" s="670">
        <f t="shared" si="2"/>
        <v>40</v>
      </c>
      <c r="M23" s="670">
        <f t="shared" si="2"/>
        <v>1360</v>
      </c>
      <c r="N23" s="670">
        <f t="shared" si="2"/>
        <v>540</v>
      </c>
      <c r="O23" s="670">
        <f t="shared" si="2"/>
        <v>160</v>
      </c>
    </row>
    <row r="24" spans="2:15">
      <c r="C24" s="671" t="s">
        <v>937</v>
      </c>
      <c r="D24" s="670"/>
      <c r="E24" s="670"/>
      <c r="F24" s="670"/>
      <c r="G24" s="670"/>
      <c r="H24" s="670"/>
      <c r="I24" s="670"/>
      <c r="J24" s="670"/>
      <c r="K24" s="670"/>
      <c r="L24" s="670"/>
      <c r="M24" s="670"/>
      <c r="N24" s="670"/>
      <c r="O24" s="670"/>
    </row>
    <row r="25" spans="2:15">
      <c r="C25" s="705" t="s">
        <v>961</v>
      </c>
      <c r="D25" s="670"/>
      <c r="E25" s="670"/>
      <c r="F25" s="670"/>
      <c r="G25" s="670"/>
      <c r="H25" s="670"/>
      <c r="I25" s="670"/>
      <c r="J25" s="670"/>
      <c r="K25" s="670"/>
      <c r="L25" s="670"/>
      <c r="M25" s="670"/>
      <c r="N25" s="670"/>
      <c r="O25" s="670"/>
    </row>
    <row r="26" spans="2:15">
      <c r="B26" s="663" t="s">
        <v>938</v>
      </c>
      <c r="C26" s="661" t="s">
        <v>939</v>
      </c>
      <c r="D26" s="670">
        <f t="shared" ref="D26:F27" si="3">D56</f>
        <v>2300</v>
      </c>
      <c r="E26" s="670">
        <f t="shared" si="3"/>
        <v>1000</v>
      </c>
      <c r="F26" s="670">
        <f t="shared" si="3"/>
        <v>0</v>
      </c>
      <c r="G26" s="670"/>
      <c r="H26" s="670"/>
      <c r="I26" s="670">
        <f>I56</f>
        <v>0</v>
      </c>
      <c r="J26" s="670"/>
      <c r="K26" s="670"/>
      <c r="L26" s="670">
        <f>L56</f>
        <v>0</v>
      </c>
      <c r="M26" s="670"/>
      <c r="N26" s="670"/>
      <c r="O26" s="670">
        <f>O56</f>
        <v>0</v>
      </c>
    </row>
    <row r="27" spans="2:15" ht="16.5" thickBot="1">
      <c r="B27" s="663" t="s">
        <v>940</v>
      </c>
      <c r="C27" s="661" t="s">
        <v>941</v>
      </c>
      <c r="D27" s="670">
        <f t="shared" si="3"/>
        <v>3100</v>
      </c>
      <c r="E27" s="670">
        <f t="shared" si="3"/>
        <v>1400</v>
      </c>
      <c r="F27" s="670">
        <f t="shared" si="3"/>
        <v>0</v>
      </c>
      <c r="G27" s="670"/>
      <c r="H27" s="670"/>
      <c r="I27" s="670">
        <f>I57</f>
        <v>0</v>
      </c>
      <c r="J27" s="670"/>
      <c r="K27" s="670"/>
      <c r="L27" s="670">
        <f>L57</f>
        <v>0</v>
      </c>
      <c r="M27" s="670"/>
      <c r="N27" s="670"/>
      <c r="O27" s="670">
        <f>O57</f>
        <v>0</v>
      </c>
    </row>
    <row r="28" spans="2:15">
      <c r="B28" s="672"/>
      <c r="C28" s="673" t="s">
        <v>942</v>
      </c>
      <c r="D28" s="674"/>
      <c r="E28" s="674"/>
      <c r="F28" s="675"/>
      <c r="G28" s="676"/>
      <c r="H28" s="674"/>
      <c r="I28" s="675"/>
      <c r="J28" s="757"/>
      <c r="K28" s="758"/>
      <c r="L28" s="759"/>
      <c r="M28" s="676"/>
      <c r="N28" s="674"/>
      <c r="O28" s="675"/>
    </row>
    <row r="29" spans="2:15">
      <c r="B29" s="677" t="s">
        <v>943</v>
      </c>
      <c r="C29" s="661" t="s">
        <v>944</v>
      </c>
      <c r="D29" s="678">
        <f t="shared" ref="D29:O29" si="4">D22-D26</f>
        <v>15300</v>
      </c>
      <c r="E29" s="678">
        <f t="shared" si="4"/>
        <v>15460</v>
      </c>
      <c r="F29" s="679">
        <f t="shared" si="4"/>
        <v>1058</v>
      </c>
      <c r="G29" s="680">
        <f t="shared" si="4"/>
        <v>10140</v>
      </c>
      <c r="H29" s="678">
        <f t="shared" si="4"/>
        <v>7120</v>
      </c>
      <c r="I29" s="679">
        <f t="shared" si="4"/>
        <v>423.20000000000005</v>
      </c>
      <c r="J29" s="760">
        <f t="shared" si="4"/>
        <v>4880</v>
      </c>
      <c r="K29" s="761">
        <f t="shared" si="4"/>
        <v>3440</v>
      </c>
      <c r="L29" s="762">
        <f t="shared" si="4"/>
        <v>211.60000000000002</v>
      </c>
      <c r="M29" s="760">
        <f t="shared" si="4"/>
        <v>2380</v>
      </c>
      <c r="N29" s="761">
        <f t="shared" si="4"/>
        <v>5900</v>
      </c>
      <c r="O29" s="762">
        <f t="shared" si="4"/>
        <v>423.20000000000005</v>
      </c>
    </row>
    <row r="30" spans="2:15" ht="16.5" thickBot="1">
      <c r="B30" s="706" t="s">
        <v>945</v>
      </c>
      <c r="C30" s="707" t="s">
        <v>963</v>
      </c>
      <c r="D30" s="708">
        <f t="shared" ref="D30:O30" si="5">D23-D26</f>
        <v>6680</v>
      </c>
      <c r="E30" s="708">
        <f t="shared" si="5"/>
        <v>380</v>
      </c>
      <c r="F30" s="709">
        <f t="shared" si="5"/>
        <v>260</v>
      </c>
      <c r="G30" s="710">
        <f t="shared" si="5"/>
        <v>5260</v>
      </c>
      <c r="H30" s="708">
        <f t="shared" si="5"/>
        <v>240</v>
      </c>
      <c r="I30" s="709">
        <f t="shared" si="5"/>
        <v>60</v>
      </c>
      <c r="J30" s="763">
        <f t="shared" si="5"/>
        <v>2360</v>
      </c>
      <c r="K30" s="764">
        <f t="shared" si="5"/>
        <v>620</v>
      </c>
      <c r="L30" s="765">
        <f t="shared" si="5"/>
        <v>40</v>
      </c>
      <c r="M30" s="763">
        <f t="shared" si="5"/>
        <v>1360</v>
      </c>
      <c r="N30" s="764">
        <f t="shared" si="5"/>
        <v>540</v>
      </c>
      <c r="O30" s="765">
        <f t="shared" si="5"/>
        <v>160</v>
      </c>
    </row>
    <row r="31" spans="2:15">
      <c r="C31" s="671" t="s">
        <v>946</v>
      </c>
      <c r="D31" s="678"/>
      <c r="E31" s="678"/>
      <c r="F31" s="678"/>
      <c r="G31" s="678"/>
      <c r="H31" s="678"/>
      <c r="I31" s="678"/>
      <c r="J31" s="761"/>
      <c r="K31" s="761"/>
      <c r="L31" s="761"/>
      <c r="M31" s="761"/>
      <c r="N31" s="761"/>
      <c r="O31" s="761"/>
    </row>
    <row r="32" spans="2:15">
      <c r="B32" s="663" t="s">
        <v>947</v>
      </c>
      <c r="C32" s="661" t="s">
        <v>948</v>
      </c>
      <c r="D32" s="678">
        <v>2000</v>
      </c>
      <c r="E32" s="678">
        <v>1000</v>
      </c>
      <c r="F32" s="678">
        <v>200</v>
      </c>
      <c r="G32" s="678">
        <f>D32*0.07</f>
        <v>140</v>
      </c>
      <c r="H32" s="678">
        <f>E32*0.07</f>
        <v>70</v>
      </c>
      <c r="I32" s="678">
        <f>$F$32*0.07</f>
        <v>14.000000000000002</v>
      </c>
      <c r="J32" s="761">
        <f>D32*0.07</f>
        <v>140</v>
      </c>
      <c r="K32" s="761">
        <f>E32*0.07</f>
        <v>70</v>
      </c>
      <c r="L32" s="761">
        <f>$F$32*0.07</f>
        <v>14.000000000000002</v>
      </c>
      <c r="M32" s="761">
        <f>D32-G32-J32</f>
        <v>1720</v>
      </c>
      <c r="N32" s="761">
        <f>E32-H32-K32</f>
        <v>860</v>
      </c>
      <c r="O32" s="761">
        <f>F32-I32-L32</f>
        <v>172</v>
      </c>
    </row>
    <row r="33" spans="2:16" ht="16.5" thickBot="1">
      <c r="B33" s="711" t="s">
        <v>949</v>
      </c>
      <c r="C33" s="693" t="s">
        <v>950</v>
      </c>
      <c r="D33" s="712">
        <v>4000</v>
      </c>
      <c r="E33" s="712">
        <v>2000</v>
      </c>
      <c r="F33" s="712">
        <v>400</v>
      </c>
      <c r="G33" s="712"/>
      <c r="H33" s="712"/>
      <c r="I33" s="712"/>
      <c r="J33" s="761"/>
      <c r="K33" s="761"/>
      <c r="L33" s="761"/>
      <c r="M33" s="761"/>
      <c r="N33" s="761"/>
      <c r="O33" s="761"/>
      <c r="P33" s="681"/>
    </row>
    <row r="34" spans="2:16">
      <c r="B34" s="682"/>
      <c r="C34" s="673" t="s">
        <v>951</v>
      </c>
      <c r="D34" s="683"/>
      <c r="E34" s="683"/>
      <c r="F34" s="684"/>
      <c r="G34" s="685"/>
      <c r="H34" s="683"/>
      <c r="I34" s="684"/>
      <c r="J34" s="757"/>
      <c r="K34" s="758"/>
      <c r="L34" s="759"/>
      <c r="M34" s="757"/>
      <c r="N34" s="758"/>
      <c r="O34" s="759"/>
    </row>
    <row r="35" spans="2:16" ht="31.5">
      <c r="B35" s="686" t="s">
        <v>952</v>
      </c>
      <c r="C35" s="687" t="s">
        <v>953</v>
      </c>
      <c r="D35" s="688">
        <f t="shared" ref="D35:O35" si="6">D29/D32</f>
        <v>7.65</v>
      </c>
      <c r="E35" s="688">
        <f t="shared" si="6"/>
        <v>15.46</v>
      </c>
      <c r="F35" s="689">
        <f t="shared" si="6"/>
        <v>5.29</v>
      </c>
      <c r="G35" s="690">
        <f t="shared" si="6"/>
        <v>72.428571428571431</v>
      </c>
      <c r="H35" s="688">
        <f t="shared" si="6"/>
        <v>101.71428571428571</v>
      </c>
      <c r="I35" s="689">
        <f t="shared" si="6"/>
        <v>30.228571428571428</v>
      </c>
      <c r="J35" s="766">
        <f t="shared" si="6"/>
        <v>34.857142857142854</v>
      </c>
      <c r="K35" s="767">
        <f t="shared" si="6"/>
        <v>49.142857142857146</v>
      </c>
      <c r="L35" s="768">
        <f t="shared" si="6"/>
        <v>15.114285714285714</v>
      </c>
      <c r="M35" s="772">
        <f t="shared" si="6"/>
        <v>1.3837209302325582</v>
      </c>
      <c r="N35" s="773">
        <f t="shared" si="6"/>
        <v>6.8604651162790695</v>
      </c>
      <c r="O35" s="774">
        <f t="shared" si="6"/>
        <v>2.4604651162790701</v>
      </c>
    </row>
    <row r="36" spans="2:16" ht="16.5" thickBot="1">
      <c r="B36" s="706" t="s">
        <v>954</v>
      </c>
      <c r="C36" s="707" t="s">
        <v>964</v>
      </c>
      <c r="D36" s="776">
        <f>D30/D33</f>
        <v>1.67</v>
      </c>
      <c r="E36" s="713">
        <f>E30/E33</f>
        <v>0.19</v>
      </c>
      <c r="F36" s="751">
        <f>F30/F33</f>
        <v>0.65</v>
      </c>
      <c r="G36" s="715"/>
      <c r="H36" s="713"/>
      <c r="I36" s="714"/>
      <c r="J36" s="769"/>
      <c r="K36" s="770"/>
      <c r="L36" s="771"/>
      <c r="M36" s="769"/>
      <c r="N36" s="770"/>
      <c r="O36" s="771"/>
    </row>
    <row r="37" spans="2:16" ht="16.5" thickBot="1">
      <c r="B37" s="711"/>
      <c r="C37" s="693"/>
      <c r="D37" s="688"/>
      <c r="E37" s="688"/>
      <c r="F37" s="688"/>
      <c r="G37" s="688"/>
      <c r="H37" s="688"/>
      <c r="I37" s="688"/>
      <c r="J37" s="688"/>
      <c r="K37" s="688"/>
      <c r="L37" s="688"/>
      <c r="M37" s="688"/>
      <c r="N37" s="688"/>
      <c r="O37" s="688"/>
    </row>
    <row r="38" spans="2:16">
      <c r="B38" s="682"/>
      <c r="C38" s="717"/>
      <c r="D38" s="718" t="s">
        <v>168</v>
      </c>
      <c r="E38" s="719"/>
      <c r="F38" s="720"/>
      <c r="G38" s="721" t="s">
        <v>4</v>
      </c>
      <c r="H38" s="721"/>
      <c r="I38" s="721"/>
      <c r="J38" s="721" t="s">
        <v>5</v>
      </c>
      <c r="K38" s="721"/>
      <c r="L38" s="721"/>
      <c r="M38" s="718" t="s">
        <v>272</v>
      </c>
      <c r="N38" s="721"/>
      <c r="O38" s="722"/>
    </row>
    <row r="39" spans="2:16">
      <c r="B39" s="686"/>
      <c r="C39" s="671" t="s">
        <v>966</v>
      </c>
      <c r="D39" s="688"/>
      <c r="E39" s="688"/>
      <c r="F39" s="688"/>
      <c r="G39" s="688"/>
      <c r="H39" s="688"/>
      <c r="I39" s="688"/>
      <c r="J39" s="688"/>
      <c r="K39" s="688"/>
      <c r="L39" s="688"/>
      <c r="M39" s="688"/>
      <c r="N39" s="688"/>
      <c r="O39" s="689"/>
    </row>
    <row r="40" spans="2:16" ht="16.5" thickBot="1">
      <c r="B40" s="706"/>
      <c r="C40" s="716" t="s">
        <v>972</v>
      </c>
      <c r="D40" s="725">
        <f>G40+J40+M40</f>
        <v>21800</v>
      </c>
      <c r="E40" s="725"/>
      <c r="F40" s="725"/>
      <c r="G40" s="725">
        <f>Unreserved!L15</f>
        <v>20200</v>
      </c>
      <c r="H40" s="725"/>
      <c r="I40" s="725"/>
      <c r="J40" s="725">
        <f>Unreserved!M15</f>
        <v>1100</v>
      </c>
      <c r="K40" s="725"/>
      <c r="L40" s="725"/>
      <c r="M40" s="725">
        <f>Unreserved!N15</f>
        <v>500</v>
      </c>
      <c r="N40" s="725"/>
      <c r="O40" s="726"/>
    </row>
    <row r="41" spans="2:16">
      <c r="B41" s="711"/>
      <c r="D41" s="688"/>
      <c r="E41" s="688"/>
      <c r="F41" s="688"/>
      <c r="G41" s="688"/>
      <c r="H41" s="688"/>
      <c r="I41" s="688"/>
      <c r="J41" s="688"/>
      <c r="K41" s="688"/>
      <c r="L41" s="688"/>
      <c r="M41" s="688"/>
      <c r="N41" s="688"/>
      <c r="O41" s="688"/>
    </row>
    <row r="42" spans="2:16" ht="31.5">
      <c r="B42" s="711"/>
      <c r="C42" s="756" t="s">
        <v>1011</v>
      </c>
      <c r="D42" s="678">
        <f>D40+(D29+E29+F29)</f>
        <v>53618</v>
      </c>
      <c r="E42" s="688"/>
      <c r="F42" s="688"/>
      <c r="G42" s="678">
        <f>G40+(G29+H29+I29)</f>
        <v>37883.199999999997</v>
      </c>
      <c r="H42" s="688"/>
      <c r="I42" s="688"/>
      <c r="J42" s="678">
        <f>J40+(J29+K29+L29)</f>
        <v>9631.6</v>
      </c>
      <c r="K42" s="688"/>
      <c r="L42" s="688"/>
      <c r="M42" s="678">
        <f>M40+(M29+N29+O29)</f>
        <v>9203.2000000000007</v>
      </c>
      <c r="N42" s="688"/>
      <c r="O42" s="688"/>
    </row>
    <row r="43" spans="2:16">
      <c r="J43" s="691"/>
    </row>
    <row r="44" spans="2:16">
      <c r="B44" s="665" t="s">
        <v>340</v>
      </c>
      <c r="J44" s="691"/>
    </row>
    <row r="45" spans="2:16">
      <c r="B45" s="661" t="s">
        <v>1007</v>
      </c>
      <c r="D45" s="692"/>
      <c r="E45" s="692"/>
      <c r="J45" s="691"/>
    </row>
    <row r="46" spans="2:16">
      <c r="B46" s="752" t="s">
        <v>1063</v>
      </c>
      <c r="D46" s="692"/>
      <c r="E46" s="692"/>
      <c r="J46" s="691"/>
    </row>
    <row r="47" spans="2:16">
      <c r="B47" s="661" t="s">
        <v>1006</v>
      </c>
      <c r="D47" s="692"/>
      <c r="E47" s="692"/>
      <c r="J47" s="691"/>
    </row>
    <row r="48" spans="2:16">
      <c r="B48" s="661" t="s">
        <v>965</v>
      </c>
      <c r="D48" s="692"/>
      <c r="E48" s="692"/>
      <c r="J48" s="691"/>
    </row>
    <row r="49" spans="2:17">
      <c r="B49" s="661"/>
      <c r="D49" s="692"/>
      <c r="E49" s="692"/>
      <c r="J49" s="691"/>
    </row>
    <row r="50" spans="2:17">
      <c r="D50" s="678"/>
      <c r="E50" s="678"/>
      <c r="J50" s="691"/>
    </row>
    <row r="51" spans="2:17">
      <c r="C51" s="662" t="s">
        <v>955</v>
      </c>
      <c r="D51" s="664" t="s">
        <v>168</v>
      </c>
      <c r="E51" s="665"/>
      <c r="F51" s="662"/>
      <c r="G51" s="665" t="s">
        <v>4</v>
      </c>
      <c r="H51" s="665"/>
      <c r="I51" s="665"/>
      <c r="J51" s="665" t="s">
        <v>5</v>
      </c>
      <c r="K51" s="665"/>
      <c r="L51" s="665"/>
      <c r="M51" s="664" t="s">
        <v>272</v>
      </c>
      <c r="N51" s="663"/>
      <c r="O51" s="663"/>
    </row>
    <row r="52" spans="2:17" ht="25.5">
      <c r="D52" s="666" t="s">
        <v>1</v>
      </c>
      <c r="E52" s="666" t="s">
        <v>910</v>
      </c>
      <c r="F52" s="666" t="s">
        <v>911</v>
      </c>
      <c r="G52" s="666" t="s">
        <v>1</v>
      </c>
      <c r="H52" s="666" t="s">
        <v>910</v>
      </c>
      <c r="I52" s="666" t="s">
        <v>911</v>
      </c>
      <c r="J52" s="666" t="s">
        <v>1</v>
      </c>
      <c r="K52" s="666" t="s">
        <v>910</v>
      </c>
      <c r="L52" s="666" t="s">
        <v>911</v>
      </c>
      <c r="M52" s="666" t="s">
        <v>1</v>
      </c>
      <c r="N52" s="666" t="s">
        <v>910</v>
      </c>
      <c r="O52" s="666" t="s">
        <v>911</v>
      </c>
    </row>
    <row r="53" spans="2:17">
      <c r="C53" s="693" t="s">
        <v>956</v>
      </c>
      <c r="D53" s="670">
        <v>332</v>
      </c>
      <c r="E53" s="670">
        <v>91</v>
      </c>
      <c r="F53" s="670">
        <v>0</v>
      </c>
      <c r="G53" s="670">
        <v>201</v>
      </c>
      <c r="H53" s="670">
        <v>34</v>
      </c>
      <c r="I53" s="670"/>
      <c r="J53" s="670">
        <v>93</v>
      </c>
      <c r="K53" s="670">
        <v>12</v>
      </c>
      <c r="L53" s="670"/>
      <c r="M53" s="670">
        <f>D53-G53-J53</f>
        <v>38</v>
      </c>
      <c r="N53" s="670">
        <f>E53-H53-K53</f>
        <v>45</v>
      </c>
      <c r="O53" s="670"/>
      <c r="P53" s="670"/>
      <c r="Q53" s="835"/>
    </row>
    <row r="54" spans="2:17">
      <c r="C54" s="693" t="s">
        <v>957</v>
      </c>
      <c r="D54" s="670">
        <f>Progress!J120</f>
        <v>1930</v>
      </c>
      <c r="E54" s="670">
        <f>Progress!J128</f>
        <v>860</v>
      </c>
      <c r="F54" s="670">
        <v>0</v>
      </c>
      <c r="G54" s="670">
        <f>Progress!J117</f>
        <v>980</v>
      </c>
      <c r="H54" s="670">
        <f>Progress!J125</f>
        <v>180</v>
      </c>
      <c r="I54" s="670"/>
      <c r="J54" s="670">
        <f>Progress!J118</f>
        <v>740</v>
      </c>
      <c r="K54" s="670">
        <f>Progress!J126</f>
        <v>340</v>
      </c>
      <c r="L54" s="670"/>
      <c r="M54" s="670">
        <f t="shared" ref="M54:M57" si="7">D54-G54-J54</f>
        <v>210</v>
      </c>
      <c r="N54" s="670">
        <f t="shared" ref="N54:N57" si="8">E54-H54-K54</f>
        <v>340</v>
      </c>
      <c r="O54" s="670"/>
      <c r="P54" s="670"/>
      <c r="Q54" s="835"/>
    </row>
    <row r="55" spans="2:17">
      <c r="C55" s="693" t="s">
        <v>958</v>
      </c>
      <c r="D55" s="670">
        <v>800</v>
      </c>
      <c r="E55" s="670">
        <v>400</v>
      </c>
      <c r="F55" s="670">
        <v>0</v>
      </c>
      <c r="G55" s="670">
        <f>G54*5/12</f>
        <v>408.33333333333331</v>
      </c>
      <c r="H55" s="670">
        <f>H54*5/12</f>
        <v>75</v>
      </c>
      <c r="I55" s="670"/>
      <c r="J55" s="670">
        <f>J54*5/12</f>
        <v>308.33333333333331</v>
      </c>
      <c r="K55" s="670">
        <f>K54*5/12</f>
        <v>141.66666666666666</v>
      </c>
      <c r="L55" s="670"/>
      <c r="M55" s="670">
        <f t="shared" si="7"/>
        <v>83.333333333333371</v>
      </c>
      <c r="N55" s="670">
        <f t="shared" si="8"/>
        <v>183.33333333333334</v>
      </c>
      <c r="O55" s="670"/>
      <c r="P55" s="670"/>
      <c r="Q55" s="835"/>
    </row>
    <row r="56" spans="2:17">
      <c r="C56" s="661" t="s">
        <v>959</v>
      </c>
      <c r="D56" s="670">
        <f>ROUNDUP(D53+D54,-2)</f>
        <v>2300</v>
      </c>
      <c r="E56" s="670">
        <f>ROUNDUP(E53+E54,-2)</f>
        <v>1000</v>
      </c>
      <c r="F56" s="670">
        <f>ROUNDUP(F53+F54,-2)</f>
        <v>0</v>
      </c>
      <c r="G56" s="670">
        <f>ROUNDUP(G53+G54,-2)</f>
        <v>1200</v>
      </c>
      <c r="H56" s="670">
        <f>ROUNDUP(H53+H54,-2)</f>
        <v>300</v>
      </c>
      <c r="I56" s="670"/>
      <c r="J56" s="670">
        <f>ROUNDUP(J53+J54,-2)</f>
        <v>900</v>
      </c>
      <c r="K56" s="670">
        <f>ROUNDUP(K53+K54,-2)</f>
        <v>400</v>
      </c>
      <c r="L56" s="670"/>
      <c r="M56" s="670">
        <f t="shared" si="7"/>
        <v>200</v>
      </c>
      <c r="N56" s="670">
        <f t="shared" si="8"/>
        <v>300</v>
      </c>
      <c r="O56" s="670"/>
      <c r="P56" s="670"/>
      <c r="Q56" s="835"/>
    </row>
    <row r="57" spans="2:17">
      <c r="C57" s="661" t="s">
        <v>960</v>
      </c>
      <c r="D57" s="670">
        <f>ROUNDUP(D54+D55+D53,-2)</f>
        <v>3100</v>
      </c>
      <c r="E57" s="670">
        <f>ROUNDUP(E54+E55+E53,-2)</f>
        <v>1400</v>
      </c>
      <c r="F57" s="670">
        <f>ROUNDUP(F54+F55+F53,-2)</f>
        <v>0</v>
      </c>
      <c r="G57" s="670">
        <f t="shared" ref="G57:K57" si="9">ROUNDUP(G54+G55+G53,-2)</f>
        <v>1600</v>
      </c>
      <c r="H57" s="670">
        <f t="shared" si="9"/>
        <v>300</v>
      </c>
      <c r="I57" s="670"/>
      <c r="J57" s="670">
        <f t="shared" si="9"/>
        <v>1200</v>
      </c>
      <c r="K57" s="670">
        <f t="shared" si="9"/>
        <v>500</v>
      </c>
      <c r="L57" s="670"/>
      <c r="M57" s="670">
        <f t="shared" si="7"/>
        <v>300</v>
      </c>
      <c r="N57" s="670">
        <f t="shared" si="8"/>
        <v>600</v>
      </c>
      <c r="O57" s="670"/>
      <c r="P57" s="670"/>
      <c r="Q57" s="835"/>
    </row>
    <row r="59" spans="2:17" ht="18.75" customHeight="1">
      <c r="C59" s="662" t="s">
        <v>968</v>
      </c>
    </row>
    <row r="60" spans="2:17">
      <c r="C60" s="694"/>
      <c r="D60" s="694" t="s">
        <v>969</v>
      </c>
      <c r="E60" s="694" t="s">
        <v>970</v>
      </c>
      <c r="F60" s="695"/>
      <c r="G60" s="694"/>
      <c r="H60" s="694"/>
      <c r="I60" s="694"/>
      <c r="J60" s="694"/>
      <c r="K60" s="694"/>
      <c r="L60" s="694"/>
      <c r="M60" s="694"/>
      <c r="N60" s="696"/>
      <c r="O60" s="696"/>
    </row>
    <row r="61" spans="2:17">
      <c r="C61" s="696" t="s">
        <v>973</v>
      </c>
      <c r="D61" s="670">
        <f>D40</f>
        <v>21800</v>
      </c>
      <c r="E61" s="670"/>
      <c r="F61" s="697"/>
      <c r="G61" s="698"/>
      <c r="H61" s="696"/>
      <c r="I61" s="696"/>
      <c r="J61" s="696"/>
      <c r="K61" s="696"/>
      <c r="L61" s="699"/>
      <c r="M61" s="696"/>
      <c r="N61" s="696"/>
      <c r="O61" s="696"/>
    </row>
    <row r="62" spans="2:17">
      <c r="C62" s="696" t="s">
        <v>975</v>
      </c>
      <c r="D62" s="670"/>
      <c r="E62" s="670">
        <v>6800</v>
      </c>
      <c r="F62" s="697"/>
      <c r="G62" s="698"/>
      <c r="H62" s="696"/>
      <c r="I62" s="696"/>
      <c r="J62" s="696"/>
      <c r="K62" s="696"/>
      <c r="L62" s="699"/>
      <c r="M62" s="696"/>
      <c r="N62" s="696"/>
      <c r="O62" s="696"/>
    </row>
    <row r="63" spans="2:17">
      <c r="C63" s="696" t="s">
        <v>974</v>
      </c>
      <c r="D63" s="670">
        <f>SUM(D29:F29)</f>
        <v>31818</v>
      </c>
      <c r="E63" s="670"/>
      <c r="F63" s="697"/>
      <c r="G63" s="698"/>
      <c r="H63" s="696"/>
      <c r="I63" s="696"/>
      <c r="J63" s="696"/>
      <c r="K63" s="696"/>
      <c r="L63" s="696"/>
      <c r="M63" s="696"/>
      <c r="N63" s="696"/>
      <c r="O63" s="696"/>
    </row>
    <row r="64" spans="2:17">
      <c r="C64" s="700" t="s">
        <v>976</v>
      </c>
      <c r="D64" s="670"/>
      <c r="E64" s="670">
        <v>3200</v>
      </c>
      <c r="F64" s="697"/>
      <c r="G64" s="698"/>
      <c r="H64" s="696"/>
      <c r="I64" s="696"/>
      <c r="J64" s="696"/>
      <c r="K64" s="696"/>
      <c r="L64" s="696"/>
      <c r="M64" s="696"/>
      <c r="N64" s="696"/>
      <c r="O64" s="696"/>
    </row>
    <row r="65" spans="3:15">
      <c r="C65" s="696"/>
      <c r="D65" s="727">
        <f>SUM(D61:D64)</f>
        <v>53618</v>
      </c>
      <c r="E65" s="727">
        <f>SUM(E61:E64)</f>
        <v>10000</v>
      </c>
      <c r="F65" s="701"/>
      <c r="G65" s="700"/>
      <c r="H65" s="700"/>
      <c r="I65" s="700"/>
      <c r="J65" s="696"/>
      <c r="K65" s="700"/>
      <c r="L65" s="700"/>
      <c r="M65" s="700"/>
      <c r="N65" s="696"/>
      <c r="O65" s="696"/>
    </row>
    <row r="66" spans="3:15">
      <c r="F66" s="697"/>
      <c r="G66" s="696"/>
      <c r="H66" s="702"/>
      <c r="I66" s="696"/>
      <c r="J66" s="696"/>
      <c r="K66" s="696"/>
      <c r="L66" s="699"/>
      <c r="M66" s="699"/>
      <c r="N66" s="696"/>
      <c r="O66" s="696"/>
    </row>
    <row r="67" spans="3:15">
      <c r="C67" s="696"/>
      <c r="D67" s="696"/>
      <c r="E67" s="696"/>
      <c r="F67" s="703"/>
      <c r="G67" s="696"/>
      <c r="H67" s="696"/>
      <c r="I67" s="696"/>
      <c r="J67" s="696"/>
      <c r="K67" s="696"/>
      <c r="L67" s="699"/>
      <c r="M67" s="699"/>
      <c r="N67" s="696"/>
      <c r="O67" s="696"/>
    </row>
    <row r="68" spans="3:15">
      <c r="C68" s="696"/>
      <c r="D68" s="696"/>
      <c r="E68" s="696"/>
      <c r="F68" s="696"/>
      <c r="G68" s="696"/>
      <c r="H68" s="696"/>
      <c r="I68" s="704"/>
      <c r="J68" s="696"/>
      <c r="K68" s="696"/>
      <c r="L68" s="696"/>
      <c r="M68" s="696"/>
      <c r="N68" s="696"/>
      <c r="O68" s="696"/>
    </row>
    <row r="69" spans="3:15">
      <c r="C69" s="696"/>
      <c r="D69" s="696"/>
      <c r="E69" s="696"/>
      <c r="F69" s="696"/>
      <c r="G69" s="696"/>
      <c r="H69" s="696"/>
      <c r="I69" s="696"/>
      <c r="J69" s="696"/>
      <c r="K69" s="696"/>
      <c r="L69" s="696"/>
      <c r="M69" s="696"/>
      <c r="N69" s="696"/>
      <c r="O69" s="696"/>
    </row>
    <row r="70" spans="3:15">
      <c r="C70" s="696"/>
      <c r="D70" s="696"/>
      <c r="E70" s="696"/>
      <c r="F70" s="696"/>
      <c r="G70" s="696"/>
      <c r="H70" s="696"/>
      <c r="I70" s="696"/>
      <c r="J70" s="696"/>
      <c r="K70" s="696"/>
      <c r="L70" s="696"/>
      <c r="M70" s="696"/>
      <c r="N70" s="696"/>
      <c r="O70" s="696"/>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1AFB1-7C64-476C-A259-B481B617F810}">
  <dimension ref="A1:Z64"/>
  <sheetViews>
    <sheetView topLeftCell="J11" zoomScale="98" zoomScaleNormal="98" workbookViewId="0">
      <selection activeCell="Q21" sqref="Q21"/>
    </sheetView>
  </sheetViews>
  <sheetFormatPr defaultRowHeight="15"/>
  <cols>
    <col min="1" max="1" width="4.25" style="536" customWidth="1"/>
    <col min="2" max="2" width="27.625" style="536" customWidth="1"/>
    <col min="3" max="3" width="13.25" style="536" customWidth="1"/>
    <col min="4" max="4" width="11.125" style="536" customWidth="1"/>
    <col min="5" max="5" width="12.25" style="536" customWidth="1"/>
    <col min="6" max="6" width="8.5" style="536" customWidth="1"/>
    <col min="7" max="7" width="10.625" style="536" customWidth="1"/>
    <col min="8" max="8" width="11.625" style="536" customWidth="1"/>
    <col min="9" max="9" width="11.25" style="536" customWidth="1"/>
    <col min="10" max="10" width="12" style="536" customWidth="1"/>
    <col min="11" max="14" width="13.25" style="536" customWidth="1"/>
    <col min="15" max="15" width="8.125" style="536" customWidth="1"/>
    <col min="16" max="16" width="22.75" style="536" customWidth="1"/>
    <col min="17" max="17" width="12" style="536" customWidth="1"/>
    <col min="18" max="18" width="13" style="536" customWidth="1"/>
    <col min="19" max="19" width="13.375" style="536" customWidth="1"/>
    <col min="20" max="20" width="12.75" style="536" customWidth="1"/>
    <col min="21" max="16384" width="9" style="536"/>
  </cols>
  <sheetData>
    <row r="1" spans="1:26" ht="24" customHeight="1">
      <c r="A1" s="538"/>
      <c r="B1" s="538" t="s">
        <v>703</v>
      </c>
      <c r="C1" s="537"/>
      <c r="D1" s="537"/>
      <c r="E1" s="537"/>
      <c r="F1" s="537"/>
      <c r="G1" s="537"/>
      <c r="H1" s="537"/>
      <c r="I1" s="537"/>
    </row>
    <row r="2" spans="1:26" ht="18" customHeight="1">
      <c r="B2" s="653" t="s">
        <v>908</v>
      </c>
      <c r="C2" s="647"/>
      <c r="D2" s="647"/>
      <c r="E2" s="647"/>
      <c r="F2" s="647"/>
      <c r="G2" s="647"/>
      <c r="H2" s="647"/>
      <c r="I2" s="647"/>
      <c r="J2" s="647"/>
      <c r="K2" s="647"/>
    </row>
    <row r="3" spans="1:26">
      <c r="B3" s="647"/>
      <c r="C3" s="654" t="s">
        <v>705</v>
      </c>
      <c r="D3" s="655"/>
      <c r="E3" s="655"/>
      <c r="F3" s="655" t="s">
        <v>696</v>
      </c>
      <c r="G3" s="655"/>
      <c r="H3" s="655"/>
      <c r="I3" s="655" t="s">
        <v>737</v>
      </c>
      <c r="J3" s="655"/>
      <c r="K3" s="655"/>
    </row>
    <row r="4" spans="1:26" ht="51.75">
      <c r="B4" s="646" t="s">
        <v>907</v>
      </c>
      <c r="C4" s="540" t="s">
        <v>704</v>
      </c>
      <c r="D4" s="540" t="s">
        <v>265</v>
      </c>
      <c r="E4" s="540" t="s">
        <v>266</v>
      </c>
      <c r="F4" s="540" t="s">
        <v>704</v>
      </c>
      <c r="G4" s="540" t="s">
        <v>265</v>
      </c>
      <c r="H4" s="540" t="s">
        <v>266</v>
      </c>
      <c r="I4" s="540" t="s">
        <v>704</v>
      </c>
      <c r="J4" s="540" t="s">
        <v>265</v>
      </c>
      <c r="K4" s="540" t="s">
        <v>266</v>
      </c>
    </row>
    <row r="5" spans="1:26">
      <c r="B5" s="647"/>
      <c r="C5" s="647" t="s">
        <v>712</v>
      </c>
      <c r="D5" s="647" t="s">
        <v>712</v>
      </c>
      <c r="E5" s="647" t="s">
        <v>713</v>
      </c>
      <c r="F5" s="647" t="s">
        <v>712</v>
      </c>
      <c r="G5" s="647" t="s">
        <v>712</v>
      </c>
      <c r="H5" s="647" t="s">
        <v>713</v>
      </c>
      <c r="I5" s="647" t="s">
        <v>712</v>
      </c>
      <c r="J5" s="647" t="s">
        <v>712</v>
      </c>
      <c r="K5" s="647" t="s">
        <v>713</v>
      </c>
    </row>
    <row r="6" spans="1:26">
      <c r="B6" s="646" t="s">
        <v>715</v>
      </c>
      <c r="C6" s="645">
        <v>31255</v>
      </c>
      <c r="D6" s="645">
        <v>2571</v>
      </c>
      <c r="E6" s="645">
        <v>2974</v>
      </c>
      <c r="F6" s="645">
        <v>2541</v>
      </c>
      <c r="G6" s="645">
        <v>953</v>
      </c>
      <c r="H6" s="645">
        <v>473</v>
      </c>
      <c r="I6" s="645">
        <v>5774</v>
      </c>
      <c r="J6" s="645">
        <v>1367</v>
      </c>
      <c r="K6" s="645">
        <v>1049</v>
      </c>
    </row>
    <row r="7" spans="1:26" ht="18.75" customHeight="1">
      <c r="B7" s="646" t="s">
        <v>714</v>
      </c>
      <c r="C7" s="645" t="s">
        <v>173</v>
      </c>
      <c r="D7" s="645">
        <v>4483</v>
      </c>
      <c r="E7" s="645" t="s">
        <v>173</v>
      </c>
      <c r="F7" s="656" t="s">
        <v>173</v>
      </c>
      <c r="G7" s="656">
        <v>721</v>
      </c>
      <c r="H7" s="656" t="s">
        <v>173</v>
      </c>
      <c r="I7" s="645" t="s">
        <v>173</v>
      </c>
      <c r="J7" s="645">
        <v>200</v>
      </c>
      <c r="K7" s="645" t="s">
        <v>173</v>
      </c>
    </row>
    <row r="8" spans="1:26" ht="18.75" customHeight="1">
      <c r="D8" s="545"/>
      <c r="E8" s="545"/>
      <c r="F8" s="541"/>
      <c r="G8" s="541"/>
      <c r="H8" s="541"/>
      <c r="I8" s="545"/>
      <c r="J8" s="545"/>
      <c r="K8" s="545"/>
    </row>
    <row r="9" spans="1:26">
      <c r="B9" s="544" t="s">
        <v>906</v>
      </c>
      <c r="F9" s="539"/>
      <c r="P9" s="43" t="s">
        <v>262</v>
      </c>
      <c r="Q9"/>
      <c r="R9"/>
      <c r="S9" s="101"/>
      <c r="T9" s="101"/>
      <c r="U9" s="43" t="s">
        <v>261</v>
      </c>
      <c r="V9"/>
      <c r="W9"/>
      <c r="X9"/>
      <c r="Y9"/>
      <c r="Z9" s="100"/>
    </row>
    <row r="10" spans="1:26" ht="57.75" customHeight="1">
      <c r="B10" s="647"/>
      <c r="C10" s="540" t="s">
        <v>1058</v>
      </c>
      <c r="D10" s="649" t="s">
        <v>1059</v>
      </c>
      <c r="E10" s="540" t="s">
        <v>1060</v>
      </c>
      <c r="F10" s="649" t="s">
        <v>1061</v>
      </c>
      <c r="G10" s="647" t="s">
        <v>3</v>
      </c>
      <c r="H10" s="797" t="s">
        <v>1068</v>
      </c>
      <c r="J10" s="797" t="s">
        <v>1069</v>
      </c>
      <c r="P10" s="45"/>
      <c r="Q10"/>
      <c r="R10"/>
      <c r="S10" s="101"/>
      <c r="T10" s="101"/>
      <c r="U10" s="45"/>
      <c r="V10"/>
      <c r="W10"/>
      <c r="X10" s="89"/>
      <c r="Y10" s="89"/>
      <c r="Z10" s="89"/>
    </row>
    <row r="11" spans="1:26" ht="66" customHeight="1">
      <c r="B11" s="649" t="s">
        <v>902</v>
      </c>
      <c r="C11" s="547">
        <f>(C6+D6*0.5+E6*0.5*2.5)*0.85</f>
        <v>30819.3</v>
      </c>
      <c r="D11" s="546">
        <f>(F6+G6*0.5+H6*0.7*2)*0.85</f>
        <v>3127.7449999999999</v>
      </c>
      <c r="E11" s="547">
        <f>(I6+J6*0.8+K6*0.7*2.5)*0.85</f>
        <v>7397.8474999999999</v>
      </c>
      <c r="F11" s="650"/>
      <c r="G11" s="650">
        <f>SUM(C11:E11)</f>
        <v>41344.892500000002</v>
      </c>
      <c r="H11" s="798"/>
      <c r="I11" s="542"/>
      <c r="J11" s="542"/>
      <c r="P11" s="47" t="s">
        <v>9</v>
      </c>
      <c r="Q11" s="47" t="s">
        <v>119</v>
      </c>
      <c r="R11" s="47" t="s">
        <v>41</v>
      </c>
      <c r="S11" s="70" t="s">
        <v>127</v>
      </c>
      <c r="T11" s="70" t="s">
        <v>121</v>
      </c>
      <c r="U11" s="47" t="s">
        <v>9</v>
      </c>
      <c r="V11" s="47" t="s">
        <v>120</v>
      </c>
      <c r="W11" s="47" t="s">
        <v>41</v>
      </c>
      <c r="X11" s="70" t="s">
        <v>127</v>
      </c>
      <c r="Y11" s="70" t="s">
        <v>121</v>
      </c>
      <c r="Z11" s="70"/>
    </row>
    <row r="12" spans="1:26">
      <c r="B12" s="651"/>
      <c r="C12" s="648" t="s">
        <v>705</v>
      </c>
      <c r="D12" s="647" t="s">
        <v>696</v>
      </c>
      <c r="E12" s="648" t="s">
        <v>737</v>
      </c>
      <c r="F12" s="650"/>
      <c r="G12" s="647"/>
      <c r="H12" s="798"/>
      <c r="P12" s="5" t="s">
        <v>80</v>
      </c>
      <c r="Q12" s="5"/>
      <c r="R12" s="5">
        <v>6</v>
      </c>
      <c r="S12" s="782">
        <v>588</v>
      </c>
      <c r="T12" s="782">
        <v>0</v>
      </c>
      <c r="U12" s="5" t="s">
        <v>46</v>
      </c>
      <c r="V12" s="5"/>
      <c r="W12" s="5">
        <v>0</v>
      </c>
      <c r="X12" s="74">
        <v>51</v>
      </c>
      <c r="Y12" s="74"/>
      <c r="Z12" s="50"/>
    </row>
    <row r="13" spans="1:26" ht="26.25" customHeight="1">
      <c r="B13" s="540" t="s">
        <v>753</v>
      </c>
      <c r="C13" s="546">
        <f>-Progress!D151*4/12</f>
        <v>-3104</v>
      </c>
      <c r="D13" s="546">
        <f>-Progress!E151*4/12</f>
        <v>-441</v>
      </c>
      <c r="E13" s="546">
        <f>-Progress!F151*4/12</f>
        <v>-1288.6666666666667</v>
      </c>
      <c r="F13" s="650"/>
      <c r="G13" s="652">
        <f>SUM(C13:E13)</f>
        <v>-4833.666666666667</v>
      </c>
      <c r="H13" s="803">
        <f>'Visa Supply'!E67</f>
        <v>14207.10852</v>
      </c>
      <c r="P13" s="5" t="s">
        <v>81</v>
      </c>
      <c r="Q13" s="74">
        <v>2783.0276961812842</v>
      </c>
      <c r="R13" s="5">
        <v>1</v>
      </c>
      <c r="S13" s="782"/>
      <c r="T13" s="782">
        <v>0</v>
      </c>
      <c r="U13" s="5" t="s">
        <v>50</v>
      </c>
      <c r="V13" s="74">
        <v>42</v>
      </c>
      <c r="W13" s="74">
        <v>0</v>
      </c>
      <c r="X13" s="74">
        <v>6.7842170160295927</v>
      </c>
      <c r="Y13" s="74"/>
      <c r="Z13" s="50"/>
    </row>
    <row r="14" spans="1:26" ht="15.75" thickBot="1">
      <c r="B14" s="648" t="s">
        <v>754</v>
      </c>
      <c r="C14" s="657">
        <f>-ROUNDUP(Progress!L106,-2)</f>
        <v>-4500</v>
      </c>
      <c r="D14" s="657">
        <f>-ROUNDUP(Progress!L107,-2)</f>
        <v>-1100</v>
      </c>
      <c r="E14" s="657">
        <f>-ROUNDUP(Progress!L108,-2)</f>
        <v>-5200</v>
      </c>
      <c r="F14" s="650"/>
      <c r="G14" s="652">
        <f>SUM(C14:E14)</f>
        <v>-10800</v>
      </c>
      <c r="H14" s="803">
        <f>'Visa Supply'!F64</f>
        <v>11298.693879999999</v>
      </c>
      <c r="P14" s="5" t="s">
        <v>82</v>
      </c>
      <c r="Q14" s="74">
        <v>2184.9748216533781</v>
      </c>
      <c r="R14" s="5">
        <v>1</v>
      </c>
      <c r="S14" s="782">
        <v>1286.5180249540292</v>
      </c>
      <c r="T14" s="782">
        <v>0</v>
      </c>
      <c r="U14" s="5" t="s">
        <v>52</v>
      </c>
      <c r="V14" s="74">
        <v>261</v>
      </c>
      <c r="W14" s="74">
        <v>1</v>
      </c>
      <c r="X14" s="74">
        <v>42.159062885326755</v>
      </c>
      <c r="Y14" s="74"/>
      <c r="Z14" s="50"/>
    </row>
    <row r="15" spans="1:26" ht="42.75" customHeight="1" thickBot="1">
      <c r="B15" s="659" t="s">
        <v>750</v>
      </c>
      <c r="C15" s="660">
        <f>ROUNDDOWN(C11+SUM(C13:C14),-2)</f>
        <v>23200</v>
      </c>
      <c r="D15" s="660">
        <f>ROUNDDOWN(D11+SUM(D13:D14),-2)</f>
        <v>1500</v>
      </c>
      <c r="E15" s="660">
        <f>ROUNDDOWN(E11+SUM(E13:E14),-2)</f>
        <v>900</v>
      </c>
      <c r="F15" s="650"/>
      <c r="G15" s="652">
        <f>SUM(C15:E15)</f>
        <v>25600</v>
      </c>
      <c r="H15" s="804"/>
      <c r="K15" s="728" t="s">
        <v>971</v>
      </c>
      <c r="L15" s="542">
        <f>ROUND(C15+C16*5/12,-2)</f>
        <v>20200</v>
      </c>
      <c r="M15" s="542">
        <f>ROUND(D15+D16*5/12,-2)</f>
        <v>1100</v>
      </c>
      <c r="N15" s="542">
        <f>ROUND(E15+E16*5/12,-2)</f>
        <v>500</v>
      </c>
      <c r="P15" s="5" t="s">
        <v>83</v>
      </c>
      <c r="Q15" s="74">
        <v>2340.1657574485944</v>
      </c>
      <c r="R15" s="5">
        <v>3</v>
      </c>
      <c r="S15" s="782">
        <v>1377.8947924258616</v>
      </c>
      <c r="T15" s="782">
        <v>14</v>
      </c>
      <c r="U15" s="5" t="s">
        <v>54</v>
      </c>
      <c r="V15" s="74">
        <v>127</v>
      </c>
      <c r="W15" s="74">
        <v>0</v>
      </c>
      <c r="X15" s="74">
        <v>20.514180024660913</v>
      </c>
      <c r="Y15" s="74"/>
      <c r="Z15" s="50"/>
    </row>
    <row r="16" spans="1:26">
      <c r="B16" s="647" t="s">
        <v>1056</v>
      </c>
      <c r="C16" s="658">
        <v>-7100</v>
      </c>
      <c r="D16" s="658">
        <v>-1000</v>
      </c>
      <c r="E16" s="658">
        <v>-900</v>
      </c>
      <c r="F16" s="650"/>
      <c r="G16" s="652">
        <f>SUM(C16:F16)</f>
        <v>-9000</v>
      </c>
      <c r="H16" s="803">
        <f>'Visa Supply'!G64</f>
        <v>9655.9715199999991</v>
      </c>
      <c r="I16" s="542">
        <f>H16*0.07</f>
        <v>675.91800639999997</v>
      </c>
      <c r="J16" s="803">
        <f>'Visa Supply'!R17</f>
        <v>9671.614239999999</v>
      </c>
      <c r="P16" s="5" t="s">
        <v>84</v>
      </c>
      <c r="Q16" s="74">
        <v>6221.8317247167442</v>
      </c>
      <c r="R16" s="5">
        <v>28</v>
      </c>
      <c r="S16" s="782">
        <v>3663.4283300444963</v>
      </c>
      <c r="T16" s="782">
        <v>89</v>
      </c>
      <c r="U16" s="5" t="s">
        <v>56</v>
      </c>
      <c r="V16" s="74">
        <v>381</v>
      </c>
      <c r="W16" s="74">
        <v>1</v>
      </c>
      <c r="X16" s="74">
        <v>61.542540073982742</v>
      </c>
      <c r="Y16" s="74"/>
      <c r="Z16" s="50"/>
    </row>
    <row r="17" spans="2:26">
      <c r="B17" s="647" t="s">
        <v>1057</v>
      </c>
      <c r="C17" s="546">
        <v>-8200</v>
      </c>
      <c r="D17" s="546">
        <v>-500</v>
      </c>
      <c r="E17" s="546"/>
      <c r="F17" s="650">
        <v>-1000</v>
      </c>
      <c r="G17" s="652">
        <f t="shared" ref="G17:G20" si="0">SUM(C17:F17)</f>
        <v>-9700</v>
      </c>
      <c r="H17" s="803">
        <f>'Visa Supply'!H64</f>
        <v>9964.8406400000003</v>
      </c>
      <c r="I17" s="542">
        <f>H17*0.07</f>
        <v>697.53884480000011</v>
      </c>
      <c r="J17" s="803">
        <f>'Visa Supply'!S17</f>
        <v>7241.9999999999991</v>
      </c>
      <c r="P17" s="5" t="s">
        <v>85</v>
      </c>
      <c r="Q17" s="74">
        <v>3808</v>
      </c>
      <c r="R17" s="5">
        <v>33</v>
      </c>
      <c r="S17" s="782">
        <v>2242.1588525756129</v>
      </c>
      <c r="T17" s="782">
        <v>118</v>
      </c>
      <c r="U17" s="5" t="s">
        <v>58</v>
      </c>
      <c r="V17" s="74">
        <v>283</v>
      </c>
      <c r="W17" s="74">
        <v>0</v>
      </c>
      <c r="X17" s="74">
        <v>179.41673710904482</v>
      </c>
      <c r="Y17" s="74"/>
      <c r="Z17" s="50"/>
    </row>
    <row r="18" spans="2:26">
      <c r="B18" s="647" t="s">
        <v>1062</v>
      </c>
      <c r="C18" s="546">
        <v>-5000</v>
      </c>
      <c r="D18" s="546"/>
      <c r="E18" s="546"/>
      <c r="F18" s="650">
        <v>-4500</v>
      </c>
      <c r="G18" s="652">
        <f t="shared" si="0"/>
        <v>-9500</v>
      </c>
      <c r="H18" s="803">
        <f>'Visa Supply'!I17</f>
        <v>9656</v>
      </c>
      <c r="I18" s="542">
        <f t="shared" ref="I18:I19" si="1">H18*0.07</f>
        <v>675.92000000000007</v>
      </c>
      <c r="J18" s="803">
        <f>'Visa Supply'!T17</f>
        <v>6759.2000000000007</v>
      </c>
      <c r="P18" s="5" t="s">
        <v>86</v>
      </c>
      <c r="Q18" s="74">
        <v>391</v>
      </c>
      <c r="R18" s="5">
        <v>4</v>
      </c>
      <c r="S18" s="782">
        <v>545.90334928229663</v>
      </c>
      <c r="T18" s="782">
        <v>98</v>
      </c>
      <c r="U18" s="5" t="s">
        <v>60</v>
      </c>
      <c r="V18" s="74">
        <v>127</v>
      </c>
      <c r="W18" s="74">
        <v>0</v>
      </c>
      <c r="X18" s="74">
        <v>80.515638207945898</v>
      </c>
      <c r="Y18" s="74"/>
      <c r="Z18" s="50"/>
    </row>
    <row r="19" spans="2:26">
      <c r="B19" s="647" t="s">
        <v>831</v>
      </c>
      <c r="C19" s="546">
        <v>-2900</v>
      </c>
      <c r="D19" s="546"/>
      <c r="E19" s="546"/>
      <c r="F19" s="650">
        <v>-4500</v>
      </c>
      <c r="G19" s="652">
        <f t="shared" si="0"/>
        <v>-7400</v>
      </c>
      <c r="H19" s="803">
        <f>'Visa Supply'!J17</f>
        <v>6759.2000000000007</v>
      </c>
      <c r="I19" s="542">
        <f t="shared" si="1"/>
        <v>473.14400000000012</v>
      </c>
      <c r="J19" s="803">
        <f>'Visa Supply'!T17</f>
        <v>6759.2000000000007</v>
      </c>
      <c r="P19" s="5" t="s">
        <v>87</v>
      </c>
      <c r="Q19" s="74">
        <v>1415</v>
      </c>
      <c r="R19" s="5">
        <v>20</v>
      </c>
      <c r="S19" s="782">
        <v>1975.5837320574165</v>
      </c>
      <c r="T19" s="782">
        <v>332</v>
      </c>
      <c r="U19" s="5" t="s">
        <v>62</v>
      </c>
      <c r="V19" s="74">
        <v>330</v>
      </c>
      <c r="W19" s="74">
        <v>3</v>
      </c>
      <c r="X19" s="74">
        <v>209.21386306001693</v>
      </c>
      <c r="Y19" s="74"/>
      <c r="Z19" s="50"/>
    </row>
    <row r="20" spans="2:26" ht="15" customHeight="1">
      <c r="B20" s="647" t="s">
        <v>832</v>
      </c>
      <c r="C20" s="546"/>
      <c r="D20" s="546"/>
      <c r="E20" s="546"/>
      <c r="F20" s="650"/>
      <c r="G20" s="652">
        <f t="shared" si="0"/>
        <v>0</v>
      </c>
      <c r="P20" s="5" t="s">
        <v>88</v>
      </c>
      <c r="Q20" s="74">
        <v>5334</v>
      </c>
      <c r="R20" s="5">
        <v>79</v>
      </c>
      <c r="S20" s="782">
        <v>7447.182775119617</v>
      </c>
      <c r="T20" s="782">
        <v>1165</v>
      </c>
      <c r="U20" s="5" t="s">
        <v>64</v>
      </c>
      <c r="V20" s="74">
        <v>443</v>
      </c>
      <c r="W20" s="74">
        <v>1</v>
      </c>
      <c r="X20" s="74">
        <v>280.85376162299241</v>
      </c>
      <c r="Y20" s="74">
        <v>45</v>
      </c>
      <c r="Z20" s="50"/>
    </row>
    <row r="21" spans="2:26">
      <c r="B21" s="647" t="s">
        <v>834</v>
      </c>
      <c r="C21" s="647"/>
      <c r="D21" s="647"/>
      <c r="E21" s="647"/>
      <c r="F21" s="647"/>
      <c r="P21" s="5" t="s">
        <v>90</v>
      </c>
      <c r="Q21" s="74">
        <v>3310</v>
      </c>
      <c r="R21" s="5">
        <v>87</v>
      </c>
      <c r="S21" s="782">
        <v>4621.3301435406702</v>
      </c>
      <c r="T21" s="782">
        <v>782</v>
      </c>
      <c r="U21" s="5" t="s">
        <v>65</v>
      </c>
      <c r="V21" s="74">
        <v>155</v>
      </c>
      <c r="W21" s="74">
        <v>7</v>
      </c>
      <c r="X21" s="74">
        <v>93.769282360831667</v>
      </c>
      <c r="Y21" s="74">
        <v>23</v>
      </c>
      <c r="Z21" s="50"/>
    </row>
    <row r="22" spans="2:26">
      <c r="B22" s="647"/>
      <c r="C22" s="647"/>
      <c r="D22" s="647"/>
      <c r="E22" s="647"/>
      <c r="F22" s="647"/>
      <c r="P22" s="5" t="s">
        <v>50</v>
      </c>
      <c r="Q22" s="74">
        <v>1172</v>
      </c>
      <c r="R22" s="5">
        <v>94</v>
      </c>
      <c r="S22" s="782">
        <v>1198.9144050104385</v>
      </c>
      <c r="T22" s="782">
        <v>0</v>
      </c>
      <c r="U22" s="5" t="s">
        <v>66</v>
      </c>
      <c r="V22" s="74">
        <v>180</v>
      </c>
      <c r="W22" s="74">
        <v>3</v>
      </c>
      <c r="X22" s="74">
        <v>108.8933601609658</v>
      </c>
      <c r="Y22" s="74">
        <v>44</v>
      </c>
      <c r="Z22" s="50"/>
    </row>
    <row r="23" spans="2:26">
      <c r="B23" s="647" t="s">
        <v>833</v>
      </c>
      <c r="C23" s="652">
        <f>SUM(C15:C22)</f>
        <v>0</v>
      </c>
      <c r="D23" s="652">
        <f t="shared" ref="D23:E23" si="2">SUM(D15:D22)</f>
        <v>0</v>
      </c>
      <c r="E23" s="652">
        <f t="shared" si="2"/>
        <v>0</v>
      </c>
      <c r="F23" s="647"/>
      <c r="P23" s="5" t="s">
        <v>52</v>
      </c>
      <c r="Q23" s="74">
        <v>3280</v>
      </c>
      <c r="R23" s="5">
        <v>430</v>
      </c>
      <c r="S23" s="782">
        <v>3355.323590814196</v>
      </c>
      <c r="T23" s="782">
        <v>0</v>
      </c>
      <c r="U23" s="5" t="s">
        <v>67</v>
      </c>
      <c r="V23" s="74">
        <v>249</v>
      </c>
      <c r="W23" s="74">
        <v>9</v>
      </c>
      <c r="X23" s="74">
        <v>150.63581488933602</v>
      </c>
      <c r="Y23" s="74">
        <v>99</v>
      </c>
      <c r="Z23" s="50"/>
    </row>
    <row r="24" spans="2:26" ht="26.25">
      <c r="B24" s="649" t="s">
        <v>909</v>
      </c>
      <c r="C24" s="652">
        <f>COUNTA(C16:C20)</f>
        <v>4</v>
      </c>
      <c r="D24" s="652">
        <f t="shared" ref="D24:E24" si="3">COUNTA(D16:D20)</f>
        <v>2</v>
      </c>
      <c r="E24" s="652">
        <f t="shared" si="3"/>
        <v>1</v>
      </c>
      <c r="F24" s="652"/>
      <c r="P24" s="5" t="s">
        <v>54</v>
      </c>
      <c r="Q24" s="74">
        <v>1009</v>
      </c>
      <c r="R24" s="5">
        <v>243</v>
      </c>
      <c r="S24" s="782">
        <v>1032.171189979123</v>
      </c>
      <c r="T24" s="782">
        <v>0</v>
      </c>
      <c r="U24" s="5" t="s">
        <v>68</v>
      </c>
      <c r="V24" s="74">
        <v>907</v>
      </c>
      <c r="W24" s="74">
        <v>153</v>
      </c>
      <c r="X24" s="74">
        <v>548.70154258886657</v>
      </c>
      <c r="Y24" s="74">
        <v>404</v>
      </c>
      <c r="Z24" s="50"/>
    </row>
    <row r="25" spans="2:26">
      <c r="P25" s="5" t="s">
        <v>56</v>
      </c>
      <c r="Q25" s="74">
        <v>1245</v>
      </c>
      <c r="R25" s="5">
        <v>326</v>
      </c>
      <c r="S25" s="782">
        <v>1273.5908141962423</v>
      </c>
      <c r="T25" s="782">
        <v>0</v>
      </c>
      <c r="U25" s="5" t="s">
        <v>69</v>
      </c>
      <c r="V25" s="74">
        <v>6</v>
      </c>
      <c r="W25" s="74">
        <v>3</v>
      </c>
      <c r="X25" s="74">
        <v>0</v>
      </c>
      <c r="Y25" s="74">
        <v>0</v>
      </c>
      <c r="Z25" s="50"/>
    </row>
    <row r="26" spans="2:26">
      <c r="C26" s="542">
        <f>SUM(C13:C14)</f>
        <v>-7604</v>
      </c>
      <c r="D26" s="542">
        <f t="shared" ref="D26:E26" si="4">SUM(D13:D14)</f>
        <v>-1541</v>
      </c>
      <c r="E26" s="542">
        <f t="shared" si="4"/>
        <v>-6488.666666666667</v>
      </c>
      <c r="F26" s="542"/>
      <c r="G26" s="542">
        <f>SUM(G13:G14)</f>
        <v>-15633.666666666668</v>
      </c>
      <c r="P26" s="5" t="s">
        <v>58</v>
      </c>
      <c r="Q26" s="74">
        <v>696</v>
      </c>
      <c r="R26" s="5">
        <v>358</v>
      </c>
      <c r="S26" s="782">
        <v>302</v>
      </c>
      <c r="T26" s="782">
        <v>0</v>
      </c>
      <c r="U26" s="5" t="s">
        <v>70</v>
      </c>
      <c r="V26" s="74">
        <v>11</v>
      </c>
      <c r="W26" s="74">
        <v>0</v>
      </c>
      <c r="X26" s="74">
        <v>2</v>
      </c>
      <c r="Y26" s="74">
        <v>0</v>
      </c>
      <c r="Z26" s="50"/>
    </row>
    <row r="27" spans="2:26">
      <c r="B27" s="570" t="s">
        <v>903</v>
      </c>
      <c r="C27" s="644" t="s">
        <v>904</v>
      </c>
      <c r="P27" s="5" t="s">
        <v>60</v>
      </c>
      <c r="Q27" s="74">
        <v>207</v>
      </c>
      <c r="R27" s="5">
        <v>154</v>
      </c>
      <c r="S27" s="782">
        <v>89.818965517241381</v>
      </c>
      <c r="T27" s="782">
        <v>0</v>
      </c>
      <c r="U27" s="5" t="s">
        <v>71</v>
      </c>
      <c r="V27" s="74">
        <v>11</v>
      </c>
      <c r="W27" s="74">
        <v>2</v>
      </c>
      <c r="X27" s="74">
        <v>2</v>
      </c>
      <c r="Y27" s="74">
        <v>0</v>
      </c>
      <c r="Z27" s="50"/>
    </row>
    <row r="28" spans="2:26">
      <c r="B28" s="646"/>
      <c r="C28" s="644" t="s">
        <v>277</v>
      </c>
      <c r="P28" s="5" t="s">
        <v>62</v>
      </c>
      <c r="Q28" s="74">
        <v>294</v>
      </c>
      <c r="R28" s="5">
        <v>277</v>
      </c>
      <c r="S28" s="782">
        <v>127.56896551724138</v>
      </c>
      <c r="T28" s="782">
        <v>0</v>
      </c>
      <c r="U28" s="5" t="s">
        <v>72</v>
      </c>
      <c r="V28" s="74">
        <v>10</v>
      </c>
      <c r="W28" s="74">
        <v>2</v>
      </c>
      <c r="X28" s="74">
        <v>0</v>
      </c>
      <c r="Y28" s="74">
        <v>0</v>
      </c>
      <c r="Z28" s="50"/>
    </row>
    <row r="29" spans="2:26">
      <c r="B29" s="647"/>
      <c r="C29" s="105" t="s">
        <v>268</v>
      </c>
      <c r="P29" s="5" t="s">
        <v>64</v>
      </c>
      <c r="Q29" s="74">
        <v>195</v>
      </c>
      <c r="R29" s="5">
        <v>144</v>
      </c>
      <c r="S29" s="782">
        <v>84.612068965517238</v>
      </c>
      <c r="T29" s="782">
        <v>0</v>
      </c>
      <c r="U29" s="5" t="s">
        <v>73</v>
      </c>
      <c r="V29" s="74">
        <v>22</v>
      </c>
      <c r="W29" s="74">
        <v>6</v>
      </c>
      <c r="X29" s="74">
        <v>0</v>
      </c>
      <c r="Y29" s="74">
        <v>0</v>
      </c>
      <c r="Z29" s="50"/>
    </row>
    <row r="30" spans="2:26">
      <c r="B30" s="570"/>
      <c r="C30" s="105" t="s">
        <v>269</v>
      </c>
      <c r="P30" s="5" t="s">
        <v>65</v>
      </c>
      <c r="Q30" s="74">
        <v>118</v>
      </c>
      <c r="R30" s="5">
        <v>99</v>
      </c>
      <c r="S30" s="782">
        <v>0</v>
      </c>
      <c r="T30" s="782">
        <v>0</v>
      </c>
      <c r="U30" s="5" t="s">
        <v>74</v>
      </c>
      <c r="V30" s="74">
        <v>180</v>
      </c>
      <c r="W30" s="74">
        <v>90</v>
      </c>
      <c r="X30" s="74">
        <v>44</v>
      </c>
      <c r="Y30" s="74">
        <v>94</v>
      </c>
      <c r="Z30" s="50"/>
    </row>
    <row r="31" spans="2:26">
      <c r="B31" s="647"/>
      <c r="C31" s="647" t="s">
        <v>905</v>
      </c>
      <c r="P31" s="5" t="s">
        <v>66</v>
      </c>
      <c r="Q31" s="74">
        <v>91</v>
      </c>
      <c r="R31" s="5">
        <v>80</v>
      </c>
      <c r="S31" s="782">
        <v>0</v>
      </c>
      <c r="T31" s="782">
        <v>0</v>
      </c>
      <c r="U31" s="5" t="s">
        <v>75</v>
      </c>
      <c r="V31" s="74">
        <v>37</v>
      </c>
      <c r="W31" s="74">
        <v>19</v>
      </c>
      <c r="X31" s="74">
        <v>0</v>
      </c>
      <c r="Y31" s="74">
        <v>22</v>
      </c>
      <c r="Z31" s="50"/>
    </row>
    <row r="32" spans="2:26">
      <c r="C32" s="105" t="s">
        <v>738</v>
      </c>
      <c r="P32" s="5" t="s">
        <v>67</v>
      </c>
      <c r="Q32" s="74">
        <v>118</v>
      </c>
      <c r="R32" s="5">
        <v>97</v>
      </c>
      <c r="S32" s="782">
        <v>0</v>
      </c>
      <c r="T32" s="782">
        <v>0</v>
      </c>
      <c r="U32" s="5" t="s">
        <v>76</v>
      </c>
      <c r="V32" s="74">
        <v>70</v>
      </c>
      <c r="W32" s="74">
        <v>25</v>
      </c>
      <c r="X32" s="74">
        <v>0</v>
      </c>
      <c r="Y32" s="74">
        <v>69</v>
      </c>
      <c r="Z32" s="50"/>
    </row>
    <row r="33" spans="16:26">
      <c r="P33" s="5" t="s">
        <v>68</v>
      </c>
      <c r="Q33" s="74">
        <v>416</v>
      </c>
      <c r="R33" s="5">
        <v>369</v>
      </c>
      <c r="S33" s="782">
        <v>31</v>
      </c>
      <c r="T33" s="782">
        <v>0</v>
      </c>
      <c r="U33" s="5" t="s">
        <v>77</v>
      </c>
      <c r="V33" s="74">
        <v>195</v>
      </c>
      <c r="W33" s="74">
        <v>148</v>
      </c>
      <c r="X33" s="74"/>
      <c r="Y33" s="74">
        <v>160</v>
      </c>
      <c r="Z33" s="50"/>
    </row>
    <row r="34" spans="16:26">
      <c r="P34" s="5" t="s">
        <v>69</v>
      </c>
      <c r="Q34" s="74">
        <v>3</v>
      </c>
      <c r="R34" s="5">
        <v>2</v>
      </c>
      <c r="S34" s="782">
        <v>0</v>
      </c>
      <c r="T34" s="782">
        <v>0</v>
      </c>
      <c r="U34" s="5"/>
      <c r="V34" s="74">
        <f>SUM(V12:V33)</f>
        <v>4027</v>
      </c>
      <c r="W34" s="74">
        <f>SUM(W12:W33)</f>
        <v>473</v>
      </c>
      <c r="X34" s="74">
        <f>SUM(X12:X33)</f>
        <v>1882</v>
      </c>
      <c r="Y34" s="74">
        <f>SUM(Y12:Y33)</f>
        <v>960</v>
      </c>
      <c r="Z34" s="74"/>
    </row>
    <row r="35" spans="16:26">
      <c r="P35" s="5" t="s">
        <v>70</v>
      </c>
      <c r="Q35" s="74">
        <v>2</v>
      </c>
      <c r="R35" s="5">
        <v>2</v>
      </c>
      <c r="S35" s="782">
        <v>0</v>
      </c>
      <c r="T35" s="782">
        <v>0</v>
      </c>
      <c r="U35" s="782"/>
      <c r="V35" s="782"/>
      <c r="W35" s="783"/>
    </row>
    <row r="36" spans="16:26">
      <c r="P36" s="5" t="s">
        <v>71</v>
      </c>
      <c r="Q36" s="74">
        <v>7</v>
      </c>
      <c r="R36" s="5">
        <v>6</v>
      </c>
      <c r="S36" s="782">
        <v>0</v>
      </c>
      <c r="T36" s="782">
        <v>0</v>
      </c>
      <c r="U36" s="782"/>
      <c r="V36" s="782"/>
      <c r="W36" s="783"/>
    </row>
    <row r="37" spans="16:26">
      <c r="P37" s="5" t="s">
        <v>72</v>
      </c>
      <c r="Q37" s="74">
        <f>R37</f>
        <v>7</v>
      </c>
      <c r="R37" s="5">
        <v>7</v>
      </c>
      <c r="S37" s="782">
        <v>0</v>
      </c>
      <c r="T37" s="782">
        <v>0</v>
      </c>
      <c r="U37" s="782"/>
      <c r="V37" s="782"/>
      <c r="W37" s="783"/>
    </row>
    <row r="38" spans="16:26">
      <c r="P38" s="5" t="s">
        <v>73</v>
      </c>
      <c r="Q38" s="74">
        <f t="shared" ref="Q38:Q42" si="5">R38</f>
        <v>6</v>
      </c>
      <c r="R38" s="5">
        <v>6</v>
      </c>
      <c r="S38" s="782">
        <v>0</v>
      </c>
      <c r="T38" s="782">
        <v>0</v>
      </c>
      <c r="U38" s="782"/>
      <c r="V38" s="782"/>
      <c r="W38" s="783"/>
    </row>
    <row r="39" spans="16:26">
      <c r="P39" s="5" t="s">
        <v>74</v>
      </c>
      <c r="Q39" s="74">
        <f t="shared" si="5"/>
        <v>9</v>
      </c>
      <c r="R39" s="5">
        <v>9</v>
      </c>
      <c r="S39" s="782">
        <v>0</v>
      </c>
      <c r="T39" s="782">
        <v>0</v>
      </c>
      <c r="U39" s="782"/>
      <c r="V39" s="782"/>
      <c r="W39" s="783"/>
    </row>
    <row r="40" spans="16:26">
      <c r="P40" s="5" t="s">
        <v>75</v>
      </c>
      <c r="Q40" s="74">
        <f t="shared" si="5"/>
        <v>0</v>
      </c>
      <c r="R40" s="5">
        <v>0</v>
      </c>
      <c r="S40" s="782">
        <v>0</v>
      </c>
      <c r="T40" s="782">
        <v>0</v>
      </c>
      <c r="U40" s="782"/>
      <c r="V40" s="782"/>
      <c r="W40" s="783"/>
    </row>
    <row r="41" spans="16:26">
      <c r="P41" s="5" t="s">
        <v>76</v>
      </c>
      <c r="Q41" s="74">
        <f t="shared" si="5"/>
        <v>1</v>
      </c>
      <c r="R41" s="5">
        <v>1</v>
      </c>
      <c r="S41" s="782">
        <v>0</v>
      </c>
      <c r="T41" s="782">
        <v>0</v>
      </c>
      <c r="U41" s="782"/>
      <c r="V41" s="782"/>
      <c r="W41" s="783"/>
    </row>
    <row r="42" spans="16:26">
      <c r="P42" s="5" t="s">
        <v>77</v>
      </c>
      <c r="Q42" s="74">
        <f t="shared" si="5"/>
        <v>8</v>
      </c>
      <c r="R42" s="5">
        <v>8</v>
      </c>
      <c r="S42" s="782"/>
      <c r="T42" s="782">
        <v>0</v>
      </c>
      <c r="U42" s="782"/>
      <c r="V42" s="782"/>
      <c r="W42" s="783"/>
    </row>
    <row r="43" spans="16:26">
      <c r="P43" s="5"/>
      <c r="Q43" s="5"/>
      <c r="R43" s="5"/>
      <c r="S43" s="9">
        <f>SUM(S12:S42)</f>
        <v>31243</v>
      </c>
      <c r="T43" s="9">
        <f t="shared" ref="T43" si="6">SUM(T12:T42)</f>
        <v>2598</v>
      </c>
      <c r="U43" s="9"/>
      <c r="V43" s="9"/>
      <c r="W43" s="8"/>
    </row>
    <row r="44" spans="16:26">
      <c r="P44"/>
      <c r="Q44"/>
      <c r="R44" s="310"/>
      <c r="S44" s="310"/>
      <c r="T44" s="310"/>
      <c r="U44"/>
      <c r="V44"/>
      <c r="W44"/>
    </row>
    <row r="45" spans="16:26">
      <c r="P45" s="5" t="s">
        <v>263</v>
      </c>
      <c r="Q45"/>
      <c r="R45"/>
      <c r="S45"/>
      <c r="T45"/>
      <c r="U45"/>
      <c r="V45"/>
      <c r="W45"/>
    </row>
    <row r="46" spans="16:26">
      <c r="P46" s="5" t="s">
        <v>264</v>
      </c>
      <c r="Q46" s="159" t="s">
        <v>268</v>
      </c>
      <c r="R46" s="159"/>
      <c r="S46"/>
      <c r="T46"/>
      <c r="U46"/>
      <c r="V46"/>
      <c r="W46"/>
    </row>
    <row r="47" spans="16:26">
      <c r="P47" s="5" t="s">
        <v>265</v>
      </c>
      <c r="Q47" s="159" t="s">
        <v>270</v>
      </c>
      <c r="R47" s="159"/>
      <c r="S47"/>
      <c r="T47"/>
      <c r="U47"/>
      <c r="V47"/>
      <c r="W47"/>
    </row>
    <row r="48" spans="16:26">
      <c r="P48" s="5" t="s">
        <v>266</v>
      </c>
      <c r="Q48" s="160" t="s">
        <v>269</v>
      </c>
      <c r="R48" s="159"/>
      <c r="S48"/>
      <c r="T48"/>
      <c r="U48"/>
      <c r="V48"/>
      <c r="W48"/>
    </row>
    <row r="49" spans="16:23">
      <c r="P49" s="5" t="s">
        <v>267</v>
      </c>
      <c r="Q49" s="159" t="s">
        <v>271</v>
      </c>
      <c r="R49" s="159"/>
      <c r="S49"/>
      <c r="T49"/>
      <c r="U49"/>
      <c r="V49"/>
      <c r="W49"/>
    </row>
    <row r="52" spans="16:23">
      <c r="P52" s="252" t="s">
        <v>93</v>
      </c>
      <c r="Q52" s="199"/>
      <c r="R52" s="199"/>
      <c r="S52" s="199"/>
      <c r="T52" s="199"/>
      <c r="U52" s="201"/>
      <c r="V52" s="201"/>
      <c r="W52" s="185"/>
    </row>
    <row r="53" spans="16:23" ht="72.75">
      <c r="P53" s="199" t="s">
        <v>1100</v>
      </c>
      <c r="Q53" s="534" t="s">
        <v>739</v>
      </c>
      <c r="R53" s="255" t="s">
        <v>29</v>
      </c>
      <c r="S53" s="255" t="s">
        <v>19</v>
      </c>
      <c r="T53" s="255" t="s">
        <v>30</v>
      </c>
      <c r="U53" s="255" t="s">
        <v>31</v>
      </c>
      <c r="V53" s="256" t="s">
        <v>32</v>
      </c>
      <c r="W53" s="201"/>
    </row>
    <row r="54" spans="16:23">
      <c r="P54" s="237" t="s">
        <v>20</v>
      </c>
      <c r="Q54" s="524">
        <v>8156</v>
      </c>
      <c r="R54" s="212">
        <v>9764</v>
      </c>
      <c r="S54" s="212">
        <v>1497</v>
      </c>
      <c r="T54" s="212">
        <v>1832</v>
      </c>
      <c r="U54" s="212">
        <f>T54-S54</f>
        <v>335</v>
      </c>
      <c r="V54" s="260">
        <f>S54/R54</f>
        <v>0.15331831216714462</v>
      </c>
      <c r="W54" s="261" t="s">
        <v>115</v>
      </c>
    </row>
    <row r="55" spans="16:23">
      <c r="P55" s="237" t="s">
        <v>21</v>
      </c>
      <c r="Q55" s="524">
        <v>7516</v>
      </c>
      <c r="R55" s="212">
        <v>9947</v>
      </c>
      <c r="S55" s="212">
        <v>2282</v>
      </c>
      <c r="T55" s="212">
        <v>1719</v>
      </c>
      <c r="U55" s="212">
        <f t="shared" ref="U55:U60" si="7">T55-S55</f>
        <v>-563</v>
      </c>
      <c r="V55" s="260">
        <f t="shared" ref="V55:V60" si="8">S55/R55</f>
        <v>0.22941590429275158</v>
      </c>
      <c r="W55" s="261" t="s">
        <v>115</v>
      </c>
    </row>
    <row r="56" spans="16:23">
      <c r="P56" s="237" t="s">
        <v>22</v>
      </c>
      <c r="Q56" s="524">
        <v>7567</v>
      </c>
      <c r="R56" s="212">
        <v>10090</v>
      </c>
      <c r="S56" s="212">
        <v>2349</v>
      </c>
      <c r="T56" s="212">
        <v>3227</v>
      </c>
      <c r="U56" s="212">
        <f t="shared" si="7"/>
        <v>878</v>
      </c>
      <c r="V56" s="260">
        <f t="shared" si="8"/>
        <v>0.232804757185332</v>
      </c>
      <c r="W56" s="261" t="s">
        <v>115</v>
      </c>
    </row>
    <row r="57" spans="16:23">
      <c r="P57" s="258" t="s">
        <v>23</v>
      </c>
      <c r="Q57" s="524">
        <v>4642</v>
      </c>
      <c r="R57" s="212">
        <v>9602</v>
      </c>
      <c r="S57" s="212">
        <v>4375</v>
      </c>
      <c r="T57" s="212">
        <v>4503</v>
      </c>
      <c r="U57" s="212">
        <f t="shared" si="7"/>
        <v>128</v>
      </c>
      <c r="V57" s="260">
        <f t="shared" si="8"/>
        <v>0.45563424286606957</v>
      </c>
      <c r="W57" s="261" t="s">
        <v>115</v>
      </c>
    </row>
    <row r="58" spans="16:23">
      <c r="P58" s="258" t="s">
        <v>24</v>
      </c>
      <c r="Q58" s="524">
        <v>4327</v>
      </c>
      <c r="R58" s="212">
        <v>9478</v>
      </c>
      <c r="S58" s="212">
        <v>4391</v>
      </c>
      <c r="T58" s="212">
        <v>3362</v>
      </c>
      <c r="U58" s="212">
        <f t="shared" si="7"/>
        <v>-1029</v>
      </c>
      <c r="V58" s="260">
        <f t="shared" si="8"/>
        <v>0.4632833931209116</v>
      </c>
      <c r="W58" s="261" t="s">
        <v>115</v>
      </c>
    </row>
    <row r="59" spans="16:23">
      <c r="P59" s="237" t="s">
        <v>25</v>
      </c>
      <c r="Q59" s="524">
        <v>1686</v>
      </c>
      <c r="R59" s="212">
        <v>3596</v>
      </c>
      <c r="S59" s="212">
        <v>1454</v>
      </c>
      <c r="T59" s="212">
        <v>4420</v>
      </c>
      <c r="U59" s="212">
        <f t="shared" si="7"/>
        <v>2966</v>
      </c>
      <c r="V59" s="260">
        <f t="shared" si="8"/>
        <v>0.40433815350389324</v>
      </c>
      <c r="W59" s="261" t="s">
        <v>115</v>
      </c>
    </row>
    <row r="60" spans="16:23">
      <c r="P60" s="237" t="s">
        <v>26</v>
      </c>
      <c r="Q60" s="524">
        <v>1567</v>
      </c>
      <c r="R60" s="212">
        <v>2949</v>
      </c>
      <c r="S60" s="212">
        <v>1171</v>
      </c>
      <c r="T60" s="212">
        <v>6050</v>
      </c>
      <c r="U60" s="212">
        <f t="shared" si="7"/>
        <v>4879</v>
      </c>
      <c r="V60" s="260">
        <f t="shared" si="8"/>
        <v>0.3970837572058325</v>
      </c>
      <c r="W60" s="261" t="s">
        <v>115</v>
      </c>
    </row>
    <row r="61" spans="16:23">
      <c r="P61" s="237" t="s">
        <v>27</v>
      </c>
      <c r="Q61" s="524">
        <v>6125</v>
      </c>
      <c r="R61" s="212">
        <v>10885</v>
      </c>
      <c r="S61" s="212">
        <v>3379</v>
      </c>
      <c r="T61" s="212">
        <v>5262</v>
      </c>
      <c r="U61" s="212">
        <f>T61-S61</f>
        <v>1883</v>
      </c>
      <c r="V61" s="260">
        <f>S61/R61</f>
        <v>0.31042719338539276</v>
      </c>
      <c r="W61" s="261" t="s">
        <v>115</v>
      </c>
    </row>
    <row r="62" spans="16:23">
      <c r="P62" s="259" t="s">
        <v>28</v>
      </c>
      <c r="Q62" s="524">
        <v>6262</v>
      </c>
      <c r="R62" s="212">
        <v>9817</v>
      </c>
      <c r="S62" s="212">
        <v>2740</v>
      </c>
      <c r="T62" s="212">
        <v>4555</v>
      </c>
      <c r="U62" s="212">
        <f>T62-S62</f>
        <v>1815</v>
      </c>
      <c r="V62" s="260">
        <f>S62/R62</f>
        <v>0.27910767036772943</v>
      </c>
      <c r="W62" s="261" t="s">
        <v>115</v>
      </c>
    </row>
    <row r="63" spans="16:23">
      <c r="P63" s="237" t="s">
        <v>49</v>
      </c>
      <c r="Q63" s="524">
        <v>9312</v>
      </c>
      <c r="R63" s="212">
        <v>14501</v>
      </c>
      <c r="S63" s="212">
        <v>3866</v>
      </c>
      <c r="T63" s="212">
        <v>6129</v>
      </c>
      <c r="U63" s="212">
        <f>T63-S63</f>
        <v>2263</v>
      </c>
      <c r="V63" s="260">
        <f>S63/R63</f>
        <v>0.2666023032894283</v>
      </c>
      <c r="W63" s="261" t="s">
        <v>115</v>
      </c>
    </row>
    <row r="64" spans="16:23">
      <c r="P64" s="237" t="s">
        <v>256</v>
      </c>
      <c r="Q64" s="185">
        <v>6000</v>
      </c>
      <c r="R64" s="212">
        <v>11470</v>
      </c>
      <c r="S64" s="212">
        <v>4500</v>
      </c>
      <c r="T64" s="212"/>
      <c r="U64" s="212"/>
      <c r="V64" s="260">
        <f>S64/R64</f>
        <v>0.39232781168265041</v>
      </c>
      <c r="W64" s="261"/>
    </row>
  </sheetData>
  <conditionalFormatting sqref="S54:S64">
    <cfRule type="colorScale" priority="1">
      <colorScale>
        <cfvo type="min"/>
        <cfvo type="percentile" val="50"/>
        <cfvo type="max"/>
        <color rgb="FFF8696B"/>
        <color rgb="FFFFEB84"/>
        <color rgb="FF63BE7B"/>
      </colorScale>
    </cfRule>
  </conditionalFormatting>
  <hyperlinks>
    <hyperlink ref="C32" r:id="rId1" xr:uid="{62A79F32-1B6C-42AD-8006-A2F6659D898E}"/>
    <hyperlink ref="Q48" r:id="rId2" xr:uid="{A7D5E8B2-8D36-44D0-862D-4266D666CAE9}"/>
    <hyperlink ref="C29" r:id="rId3" xr:uid="{4F5DE4DE-6628-4057-88C9-89A2F6C1DE3E}"/>
    <hyperlink ref="C30" r:id="rId4" xr:uid="{68B1C34E-D825-4FA8-A7AF-A9CDA744DC8C}"/>
  </hyperlinks>
  <pageMargins left="0.7" right="0.7" top="0.75" bottom="0.75" header="0.3" footer="0.3"/>
  <pageSetup orientation="portrait" horizontalDpi="1200" verticalDpi="1200" r:id="rId5"/>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38E6C-A90C-4795-BE9B-81B2D7BB55E9}">
  <sheetPr>
    <pageSetUpPr fitToPage="1"/>
  </sheetPr>
  <dimension ref="A1:P91"/>
  <sheetViews>
    <sheetView zoomScale="95" zoomScaleNormal="95" workbookViewId="0">
      <selection activeCell="C21" sqref="C21"/>
    </sheetView>
  </sheetViews>
  <sheetFormatPr defaultRowHeight="14.25"/>
  <cols>
    <col min="1" max="1" width="3.5" customWidth="1"/>
    <col min="2" max="2" width="7.375" customWidth="1"/>
    <col min="3" max="3" width="24.125" customWidth="1"/>
    <col min="4" max="4" width="26.75" customWidth="1"/>
    <col min="5" max="5" width="10.875" customWidth="1"/>
    <col min="6" max="6" width="15.75" customWidth="1"/>
    <col min="7" max="7" width="11.875" customWidth="1"/>
    <col min="8" max="8" width="8.625" customWidth="1"/>
    <col min="9" max="9" width="7.625" customWidth="1"/>
    <col min="10" max="10" width="9.875" customWidth="1"/>
    <col min="11" max="11" width="11.25" customWidth="1"/>
    <col min="12" max="12" width="15" customWidth="1"/>
    <col min="13" max="13" width="15.875" customWidth="1"/>
    <col min="14" max="14" width="9.75" customWidth="1"/>
    <col min="15" max="15" width="10.375" bestFit="1" customWidth="1"/>
    <col min="16" max="16" width="11.75" customWidth="1"/>
    <col min="17" max="17" width="10.125" bestFit="1" customWidth="1"/>
    <col min="18" max="18" width="9.125" bestFit="1" customWidth="1"/>
    <col min="21" max="21" width="8" customWidth="1"/>
    <col min="22" max="22" width="15.875" customWidth="1"/>
    <col min="23" max="23" width="8.25" bestFit="1" customWidth="1"/>
  </cols>
  <sheetData>
    <row r="1" spans="1:14" ht="28.9" customHeight="1">
      <c r="A1" s="196"/>
      <c r="B1" s="247" t="s">
        <v>172</v>
      </c>
      <c r="C1" s="184"/>
      <c r="D1" s="184"/>
      <c r="E1" s="184"/>
      <c r="F1" s="184"/>
      <c r="G1" s="196"/>
      <c r="H1" s="184"/>
    </row>
    <row r="2" spans="1:14" ht="18" customHeight="1">
      <c r="A2" s="196"/>
      <c r="B2" s="196"/>
      <c r="C2" s="196"/>
      <c r="D2" s="248" t="s">
        <v>4</v>
      </c>
      <c r="E2" s="248" t="s">
        <v>5</v>
      </c>
      <c r="F2" s="248" t="s">
        <v>6</v>
      </c>
      <c r="G2" s="248" t="s">
        <v>3</v>
      </c>
      <c r="H2" s="184"/>
    </row>
    <row r="3" spans="1:14" ht="18" customHeight="1">
      <c r="A3" s="196"/>
      <c r="B3" s="642" t="s">
        <v>318</v>
      </c>
      <c r="D3" s="640" t="s">
        <v>893</v>
      </c>
      <c r="E3" s="640" t="s">
        <v>893</v>
      </c>
      <c r="F3" s="640" t="s">
        <v>894</v>
      </c>
      <c r="G3" s="196">
        <v>10000</v>
      </c>
      <c r="H3" s="184"/>
    </row>
    <row r="4" spans="1:14" ht="19.5" customHeight="1">
      <c r="A4" s="196"/>
      <c r="B4" s="272"/>
      <c r="C4" s="628" t="s">
        <v>895</v>
      </c>
      <c r="D4" s="273">
        <f>G4*0.07</f>
        <v>14.000000000000002</v>
      </c>
      <c r="E4" s="273">
        <f>G4*0.07</f>
        <v>14.000000000000002</v>
      </c>
      <c r="F4" s="273">
        <f>G4-E4-D4</f>
        <v>172</v>
      </c>
      <c r="G4" s="274">
        <f>G3*H4</f>
        <v>200</v>
      </c>
      <c r="H4" s="257">
        <v>0.02</v>
      </c>
    </row>
    <row r="5" spans="1:14" ht="18" customHeight="1">
      <c r="A5" s="196"/>
      <c r="B5" s="272"/>
      <c r="C5" s="628" t="s">
        <v>896</v>
      </c>
      <c r="D5" s="273">
        <f>G5*0.07</f>
        <v>28.000000000000004</v>
      </c>
      <c r="E5" s="273">
        <f>G5*0.07</f>
        <v>28.000000000000004</v>
      </c>
      <c r="F5" s="273">
        <f>G5-E5-D5</f>
        <v>344</v>
      </c>
      <c r="G5" s="274">
        <f>G4*2</f>
        <v>400</v>
      </c>
      <c r="H5" s="275"/>
    </row>
    <row r="6" spans="1:14" ht="18" customHeight="1">
      <c r="A6" s="196"/>
      <c r="B6" s="641" t="s">
        <v>1107</v>
      </c>
      <c r="D6" s="273"/>
      <c r="E6" s="273"/>
      <c r="F6" s="273"/>
      <c r="G6" s="274"/>
      <c r="H6" s="275"/>
    </row>
    <row r="7" spans="1:14" ht="18" customHeight="1">
      <c r="A7" s="196"/>
      <c r="B7" s="641"/>
      <c r="C7" t="s">
        <v>760</v>
      </c>
      <c r="D7" s="273"/>
      <c r="E7" s="273"/>
      <c r="F7" s="273"/>
      <c r="G7" s="274"/>
      <c r="H7" s="275"/>
    </row>
    <row r="8" spans="1:14" ht="18" customHeight="1">
      <c r="A8" s="196"/>
      <c r="B8" s="272"/>
      <c r="C8" s="184"/>
      <c r="D8" s="248" t="s">
        <v>4</v>
      </c>
      <c r="E8" s="248" t="s">
        <v>5</v>
      </c>
      <c r="F8" s="248" t="s">
        <v>6</v>
      </c>
      <c r="G8" s="248" t="s">
        <v>3</v>
      </c>
      <c r="H8" s="184"/>
    </row>
    <row r="9" spans="1:14" ht="48" customHeight="1">
      <c r="A9" s="196"/>
      <c r="B9" s="272"/>
      <c r="C9" s="628" t="s">
        <v>1106</v>
      </c>
      <c r="D9" s="857" t="s">
        <v>1108</v>
      </c>
      <c r="E9" s="857" t="s">
        <v>1108</v>
      </c>
      <c r="F9" s="857" t="s">
        <v>1108</v>
      </c>
      <c r="G9" s="857"/>
      <c r="H9" s="184"/>
    </row>
    <row r="10" spans="1:14" ht="32.25" customHeight="1">
      <c r="A10" s="196"/>
      <c r="B10" s="272"/>
      <c r="C10" s="628" t="s">
        <v>285</v>
      </c>
      <c r="D10" s="276">
        <f>J47*10</f>
        <v>40</v>
      </c>
      <c r="E10" s="276">
        <f>J51*10</f>
        <v>60</v>
      </c>
      <c r="F10" s="276">
        <f>J61*10</f>
        <v>120</v>
      </c>
      <c r="G10" s="277">
        <f>SUM(D10:F10)</f>
        <v>220</v>
      </c>
      <c r="H10" s="184"/>
    </row>
    <row r="11" spans="1:14" ht="32.25" customHeight="1">
      <c r="A11" s="196"/>
      <c r="B11" s="272"/>
      <c r="C11" s="628" t="s">
        <v>1109</v>
      </c>
      <c r="D11" s="276" t="s">
        <v>1110</v>
      </c>
      <c r="E11" s="276" t="s">
        <v>1111</v>
      </c>
      <c r="F11" s="276" t="s">
        <v>1112</v>
      </c>
      <c r="G11" s="858" t="s">
        <v>1113</v>
      </c>
      <c r="H11" s="184"/>
    </row>
    <row r="12" spans="1:14" ht="18" customHeight="1">
      <c r="A12" s="196"/>
      <c r="B12" s="272"/>
      <c r="C12" s="184"/>
      <c r="D12" s="276"/>
      <c r="E12" s="276"/>
      <c r="F12" s="276"/>
      <c r="G12" s="277"/>
      <c r="H12" s="184"/>
    </row>
    <row r="13" spans="1:14" ht="18" customHeight="1">
      <c r="A13" s="196"/>
      <c r="B13" s="627" t="s">
        <v>1092</v>
      </c>
      <c r="D13" s="352" t="s">
        <v>1141</v>
      </c>
      <c r="F13" s="293"/>
    </row>
    <row r="14" spans="1:14" s="629" customFormat="1" ht="48" customHeight="1">
      <c r="B14" s="630"/>
      <c r="C14" s="631" t="s">
        <v>836</v>
      </c>
      <c r="D14" s="631" t="s">
        <v>837</v>
      </c>
      <c r="E14" s="631" t="s">
        <v>838</v>
      </c>
      <c r="F14" s="632" t="s">
        <v>839</v>
      </c>
      <c r="G14" s="631" t="s">
        <v>840</v>
      </c>
      <c r="H14" s="631" t="s">
        <v>841</v>
      </c>
      <c r="I14" s="631" t="s">
        <v>842</v>
      </c>
      <c r="J14" s="631" t="s">
        <v>1004</v>
      </c>
      <c r="K14" s="631" t="s">
        <v>843</v>
      </c>
      <c r="L14" s="631" t="s">
        <v>844</v>
      </c>
      <c r="M14" s="631" t="s">
        <v>845</v>
      </c>
      <c r="N14" s="288" t="s">
        <v>985</v>
      </c>
    </row>
    <row r="15" spans="1:14" s="629" customFormat="1" ht="18" customHeight="1">
      <c r="B15" s="633"/>
      <c r="C15" s="629" t="s">
        <v>846</v>
      </c>
      <c r="D15" s="629" t="s">
        <v>847</v>
      </c>
      <c r="E15" s="629" t="s">
        <v>848</v>
      </c>
      <c r="F15" s="635">
        <v>45597</v>
      </c>
      <c r="G15" s="636" t="s">
        <v>849</v>
      </c>
      <c r="H15" s="629">
        <f>88/8</f>
        <v>11</v>
      </c>
      <c r="I15" s="629" t="s">
        <v>850</v>
      </c>
      <c r="J15" s="629">
        <f>88/8</f>
        <v>11</v>
      </c>
      <c r="L15" s="634" t="s">
        <v>851</v>
      </c>
      <c r="M15" s="629" t="s">
        <v>852</v>
      </c>
    </row>
    <row r="16" spans="1:14" s="629" customFormat="1" ht="18" customHeight="1">
      <c r="B16" s="633"/>
      <c r="C16" s="629" t="s">
        <v>846</v>
      </c>
      <c r="D16" s="629" t="s">
        <v>853</v>
      </c>
      <c r="E16" s="629" t="s">
        <v>848</v>
      </c>
      <c r="F16" s="635">
        <v>45597</v>
      </c>
      <c r="G16" s="636" t="s">
        <v>849</v>
      </c>
      <c r="H16" s="629">
        <f>40/8</f>
        <v>5</v>
      </c>
      <c r="I16" s="629" t="s">
        <v>850</v>
      </c>
      <c r="J16" s="629">
        <f>40/8</f>
        <v>5</v>
      </c>
      <c r="L16" s="629" t="s">
        <v>851</v>
      </c>
      <c r="M16" s="629" t="s">
        <v>854</v>
      </c>
    </row>
    <row r="17" spans="2:15" s="629" customFormat="1" ht="18" customHeight="1">
      <c r="B17" s="633"/>
      <c r="C17" s="629" t="s">
        <v>846</v>
      </c>
      <c r="D17" s="629" t="s">
        <v>855</v>
      </c>
      <c r="E17" s="629" t="s">
        <v>848</v>
      </c>
      <c r="F17" s="635">
        <v>45627</v>
      </c>
      <c r="G17" s="636" t="s">
        <v>849</v>
      </c>
      <c r="H17" s="629">
        <f>104/8</f>
        <v>13</v>
      </c>
      <c r="I17" s="629" t="s">
        <v>850</v>
      </c>
      <c r="J17" s="629">
        <f>104/8</f>
        <v>13</v>
      </c>
      <c r="L17" s="629" t="s">
        <v>856</v>
      </c>
      <c r="M17" s="629" t="s">
        <v>857</v>
      </c>
    </row>
    <row r="18" spans="2:15" s="629" customFormat="1" ht="42" customHeight="1">
      <c r="B18" s="633"/>
      <c r="C18" s="746" t="s">
        <v>858</v>
      </c>
      <c r="D18" s="746" t="s">
        <v>990</v>
      </c>
      <c r="E18" s="746" t="s">
        <v>991</v>
      </c>
      <c r="F18" s="754">
        <v>45674</v>
      </c>
      <c r="G18" s="746" t="s">
        <v>992</v>
      </c>
      <c r="H18" s="747">
        <v>57</v>
      </c>
      <c r="I18" s="746" t="s">
        <v>993</v>
      </c>
      <c r="J18" s="747">
        <v>57</v>
      </c>
      <c r="K18" s="746" t="s">
        <v>984</v>
      </c>
      <c r="L18" s="755" t="s">
        <v>1010</v>
      </c>
      <c r="M18" s="745" t="s">
        <v>999</v>
      </c>
      <c r="N18" s="753" t="s">
        <v>1009</v>
      </c>
      <c r="O18" s="753" t="s">
        <v>1008</v>
      </c>
    </row>
    <row r="19" spans="2:15" s="629" customFormat="1" ht="36" customHeight="1">
      <c r="B19" s="633"/>
      <c r="C19" s="746" t="s">
        <v>983</v>
      </c>
      <c r="D19" s="746" t="s">
        <v>994</v>
      </c>
      <c r="E19" s="746" t="s">
        <v>995</v>
      </c>
      <c r="F19" s="746" t="s">
        <v>996</v>
      </c>
      <c r="G19" s="746" t="s">
        <v>997</v>
      </c>
      <c r="H19" s="747">
        <v>127</v>
      </c>
      <c r="I19" s="747"/>
      <c r="J19" s="747">
        <v>127</v>
      </c>
      <c r="K19" s="746" t="s">
        <v>984</v>
      </c>
      <c r="L19" s="746" t="s">
        <v>1000</v>
      </c>
      <c r="M19" s="746" t="s">
        <v>1001</v>
      </c>
      <c r="N19" s="746" t="s">
        <v>1002</v>
      </c>
      <c r="O19" s="747"/>
    </row>
    <row r="20" spans="2:15" s="629" customFormat="1" ht="38.25" customHeight="1">
      <c r="B20" s="633"/>
      <c r="C20" s="746" t="s">
        <v>983</v>
      </c>
      <c r="D20" s="748" t="s">
        <v>998</v>
      </c>
      <c r="E20" s="746" t="s">
        <v>995</v>
      </c>
      <c r="F20" s="747"/>
      <c r="G20" s="747">
        <v>2026</v>
      </c>
      <c r="H20" s="747">
        <v>312</v>
      </c>
      <c r="I20" s="747"/>
      <c r="J20" s="747">
        <v>150</v>
      </c>
      <c r="K20" s="747"/>
      <c r="L20" s="746" t="s">
        <v>1003</v>
      </c>
      <c r="M20" s="747"/>
      <c r="N20" s="747"/>
      <c r="O20" s="747"/>
    </row>
    <row r="21" spans="2:15" s="629" customFormat="1" ht="18" customHeight="1">
      <c r="B21" s="633"/>
      <c r="C21" s="629" t="s">
        <v>860</v>
      </c>
      <c r="D21" s="629" t="s">
        <v>861</v>
      </c>
      <c r="E21" s="629" t="s">
        <v>859</v>
      </c>
      <c r="F21" s="635">
        <v>45838</v>
      </c>
      <c r="G21" s="629" t="s">
        <v>862</v>
      </c>
      <c r="H21" s="629">
        <v>32</v>
      </c>
      <c r="I21" s="629" t="s">
        <v>850</v>
      </c>
      <c r="J21" s="629">
        <v>32</v>
      </c>
      <c r="K21" s="629" t="s">
        <v>863</v>
      </c>
      <c r="L21" s="634" t="s">
        <v>864</v>
      </c>
      <c r="M21" s="634" t="s">
        <v>865</v>
      </c>
    </row>
    <row r="22" spans="2:15" s="629" customFormat="1" ht="18" customHeight="1">
      <c r="B22" s="633"/>
      <c r="C22" s="629" t="s">
        <v>860</v>
      </c>
      <c r="D22" s="629" t="s">
        <v>1077</v>
      </c>
      <c r="E22" s="629" t="s">
        <v>859</v>
      </c>
      <c r="F22" s="635">
        <v>46129</v>
      </c>
      <c r="G22" s="629">
        <v>2026</v>
      </c>
      <c r="H22" s="629">
        <f>52-32</f>
        <v>20</v>
      </c>
      <c r="L22" s="634" t="s">
        <v>1076</v>
      </c>
      <c r="M22" s="634"/>
    </row>
    <row r="23" spans="2:15" s="629" customFormat="1" ht="18" customHeight="1">
      <c r="B23" s="633"/>
      <c r="C23" s="629" t="s">
        <v>866</v>
      </c>
      <c r="D23" s="629" t="s">
        <v>867</v>
      </c>
      <c r="E23" s="629" t="s">
        <v>868</v>
      </c>
      <c r="F23" s="637">
        <v>46014</v>
      </c>
      <c r="G23" s="629">
        <v>2025</v>
      </c>
      <c r="H23" s="629">
        <v>54</v>
      </c>
      <c r="I23" s="629" t="s">
        <v>850</v>
      </c>
      <c r="J23" s="629">
        <v>54</v>
      </c>
      <c r="L23" s="749" t="s">
        <v>869</v>
      </c>
      <c r="M23" s="634" t="s">
        <v>870</v>
      </c>
    </row>
    <row r="24" spans="2:15" s="629" customFormat="1" ht="18" customHeight="1">
      <c r="B24" s="633"/>
      <c r="C24" s="629" t="s">
        <v>871</v>
      </c>
      <c r="D24" s="629" t="s">
        <v>872</v>
      </c>
      <c r="E24" s="629" t="s">
        <v>859</v>
      </c>
      <c r="F24" s="638" t="s">
        <v>873</v>
      </c>
      <c r="G24" s="629">
        <v>2026</v>
      </c>
      <c r="H24" s="629">
        <v>437</v>
      </c>
      <c r="L24" s="105" t="s">
        <v>874</v>
      </c>
      <c r="M24" s="634"/>
    </row>
    <row r="25" spans="2:15" s="629" customFormat="1" ht="18" customHeight="1">
      <c r="B25" s="633"/>
      <c r="C25" s="629" t="s">
        <v>866</v>
      </c>
      <c r="D25" s="629" t="s">
        <v>875</v>
      </c>
      <c r="E25" s="629" t="s">
        <v>848</v>
      </c>
      <c r="F25" s="638" t="s">
        <v>873</v>
      </c>
      <c r="G25" s="629" t="s">
        <v>876</v>
      </c>
      <c r="H25" s="629">
        <f>560/8</f>
        <v>70</v>
      </c>
      <c r="L25" s="629" t="s">
        <v>1140</v>
      </c>
    </row>
    <row r="26" spans="2:15" s="629" customFormat="1" ht="18" customHeight="1">
      <c r="B26" s="633"/>
      <c r="C26" s="629" t="s">
        <v>877</v>
      </c>
      <c r="D26" s="629" t="s">
        <v>878</v>
      </c>
      <c r="E26" s="629" t="s">
        <v>859</v>
      </c>
      <c r="F26" s="161" t="s">
        <v>901</v>
      </c>
      <c r="G26" s="629" t="s">
        <v>876</v>
      </c>
      <c r="H26" s="629">
        <v>225</v>
      </c>
      <c r="J26" s="643">
        <v>80</v>
      </c>
    </row>
    <row r="27" spans="2:15" s="629" customFormat="1" ht="18" customHeight="1">
      <c r="B27" s="633"/>
      <c r="C27" s="629" t="s">
        <v>866</v>
      </c>
      <c r="D27" s="629" t="s">
        <v>880</v>
      </c>
      <c r="E27" s="629" t="s">
        <v>848</v>
      </c>
      <c r="F27" s="638" t="s">
        <v>879</v>
      </c>
      <c r="G27" s="629" t="s">
        <v>881</v>
      </c>
      <c r="H27" s="629">
        <v>175</v>
      </c>
    </row>
    <row r="28" spans="2:15" s="629" customFormat="1" ht="18" customHeight="1">
      <c r="B28" s="633"/>
      <c r="C28" s="629" t="s">
        <v>866</v>
      </c>
      <c r="D28" s="629" t="s">
        <v>882</v>
      </c>
      <c r="E28" s="629" t="s">
        <v>848</v>
      </c>
      <c r="F28" s="638" t="s">
        <v>879</v>
      </c>
      <c r="G28" s="629" t="s">
        <v>881</v>
      </c>
      <c r="H28" s="629">
        <v>95</v>
      </c>
    </row>
    <row r="29" spans="2:15" s="629" customFormat="1" ht="18" customHeight="1">
      <c r="B29" s="633"/>
      <c r="F29" s="638"/>
      <c r="L29" s="739" t="s">
        <v>986</v>
      </c>
    </row>
    <row r="30" spans="2:15" s="629" customFormat="1" ht="18" customHeight="1">
      <c r="B30" s="633"/>
      <c r="F30" s="638"/>
      <c r="H30" s="629" t="s">
        <v>900</v>
      </c>
      <c r="J30" s="629" t="s">
        <v>898</v>
      </c>
      <c r="M30" s="629" t="s">
        <v>685</v>
      </c>
      <c r="N30" s="629" t="s">
        <v>161</v>
      </c>
    </row>
    <row r="31" spans="2:15" s="629" customFormat="1" ht="18" customHeight="1">
      <c r="B31" s="633"/>
      <c r="F31" s="638"/>
      <c r="G31" s="639" t="s">
        <v>899</v>
      </c>
      <c r="H31" s="629">
        <f>SUM(H15:H23)</f>
        <v>631</v>
      </c>
      <c r="J31" s="643">
        <f>SUM(J15:J28)</f>
        <v>529</v>
      </c>
      <c r="L31" s="629" t="s">
        <v>4</v>
      </c>
      <c r="M31" s="643">
        <f>$M$34*O31</f>
        <v>211.60000000000002</v>
      </c>
      <c r="N31" s="643">
        <v>30</v>
      </c>
      <c r="O31" s="750">
        <v>0.4</v>
      </c>
    </row>
    <row r="32" spans="2:15" s="629" customFormat="1" ht="18" customHeight="1">
      <c r="B32" s="633"/>
      <c r="F32" s="638"/>
      <c r="G32" s="639" t="s">
        <v>883</v>
      </c>
      <c r="H32" s="629">
        <f>SUM(H15:H28)</f>
        <v>1633</v>
      </c>
      <c r="J32" s="643"/>
      <c r="L32" s="629" t="s">
        <v>5</v>
      </c>
      <c r="M32" s="643">
        <f t="shared" ref="M32:M33" si="0">$M$34*O32</f>
        <v>105.80000000000001</v>
      </c>
      <c r="N32" s="643">
        <v>20</v>
      </c>
      <c r="O32" s="750">
        <v>0.2</v>
      </c>
    </row>
    <row r="33" spans="1:16" s="629" customFormat="1" ht="18" customHeight="1">
      <c r="B33" s="633"/>
      <c r="C33" s="288" t="s">
        <v>897</v>
      </c>
      <c r="F33" s="638"/>
      <c r="L33" s="629" t="s">
        <v>6</v>
      </c>
      <c r="M33" s="643">
        <f t="shared" si="0"/>
        <v>211.60000000000002</v>
      </c>
      <c r="N33" s="643">
        <v>80</v>
      </c>
      <c r="O33" s="750">
        <v>0.4</v>
      </c>
    </row>
    <row r="34" spans="1:16" s="629" customFormat="1" ht="18" customHeight="1">
      <c r="B34" s="633"/>
      <c r="C34" s="631" t="s">
        <v>836</v>
      </c>
      <c r="D34" s="631" t="s">
        <v>837</v>
      </c>
      <c r="E34" s="631" t="s">
        <v>838</v>
      </c>
      <c r="F34" s="638"/>
      <c r="L34" s="629" t="s">
        <v>3</v>
      </c>
      <c r="M34" s="643">
        <f>J31</f>
        <v>529</v>
      </c>
      <c r="N34" s="629">
        <f>SUM(N31:N33)</f>
        <v>130</v>
      </c>
      <c r="O34" s="750">
        <f>SUM(O31:O33)</f>
        <v>1</v>
      </c>
    </row>
    <row r="35" spans="1:16" s="629" customFormat="1" ht="18" customHeight="1">
      <c r="B35" s="633"/>
      <c r="C35" s="629" t="s">
        <v>884</v>
      </c>
      <c r="D35" s="629" t="s">
        <v>885</v>
      </c>
      <c r="E35" s="629" t="s">
        <v>886</v>
      </c>
      <c r="F35" s="638"/>
      <c r="L35" s="629" t="s">
        <v>1005</v>
      </c>
    </row>
    <row r="36" spans="1:16" s="629" customFormat="1" ht="18" customHeight="1">
      <c r="B36" s="633"/>
      <c r="C36" s="629" t="s">
        <v>877</v>
      </c>
      <c r="D36" s="629" t="s">
        <v>887</v>
      </c>
      <c r="E36" s="629" t="s">
        <v>888</v>
      </c>
      <c r="F36" s="638"/>
    </row>
    <row r="37" spans="1:16" s="629" customFormat="1" ht="18" customHeight="1">
      <c r="B37" s="633"/>
      <c r="C37" s="629" t="s">
        <v>877</v>
      </c>
      <c r="D37" s="629" t="s">
        <v>889</v>
      </c>
      <c r="E37" s="629" t="s">
        <v>2</v>
      </c>
      <c r="F37" s="638"/>
    </row>
    <row r="38" spans="1:16" s="629" customFormat="1" ht="18" customHeight="1">
      <c r="B38" s="633"/>
      <c r="C38" s="629" t="s">
        <v>890</v>
      </c>
      <c r="D38" s="629" t="s">
        <v>891</v>
      </c>
      <c r="E38" s="629" t="s">
        <v>2</v>
      </c>
      <c r="F38" s="638"/>
    </row>
    <row r="39" spans="1:16" ht="18" customHeight="1">
      <c r="A39" s="196"/>
      <c r="B39" s="272"/>
      <c r="C39" s="184"/>
      <c r="D39" s="276"/>
      <c r="E39" s="276"/>
      <c r="F39" s="276"/>
      <c r="G39" s="277"/>
      <c r="H39" s="184"/>
    </row>
    <row r="40" spans="1:16" ht="18" customHeight="1">
      <c r="A40" s="196"/>
      <c r="B40" s="272"/>
      <c r="C40" s="184"/>
      <c r="D40" s="276"/>
      <c r="E40" s="276"/>
      <c r="F40" s="276"/>
      <c r="G40" s="277"/>
      <c r="H40" s="184"/>
    </row>
    <row r="41" spans="1:16" ht="18" customHeight="1">
      <c r="B41" s="263" t="s">
        <v>317</v>
      </c>
      <c r="C41" s="264"/>
      <c r="D41" s="264"/>
      <c r="E41" s="264"/>
      <c r="F41" s="265"/>
      <c r="G41" s="265"/>
      <c r="H41" s="265"/>
      <c r="I41" s="265"/>
      <c r="J41" s="199"/>
    </row>
    <row r="42" spans="1:16" ht="14.65" customHeight="1">
      <c r="B42" s="263" t="s">
        <v>316</v>
      </c>
      <c r="C42" s="264"/>
      <c r="D42" s="264"/>
      <c r="E42" s="264"/>
      <c r="F42" s="265"/>
      <c r="G42" s="265"/>
      <c r="H42" s="265"/>
      <c r="I42" s="265"/>
      <c r="J42" s="199"/>
    </row>
    <row r="43" spans="1:16" ht="14.65" customHeight="1" thickBot="1">
      <c r="B43" s="263" t="s">
        <v>315</v>
      </c>
      <c r="C43" s="264"/>
      <c r="D43" s="264"/>
      <c r="E43" s="264"/>
      <c r="F43" s="265"/>
      <c r="G43" s="265"/>
      <c r="H43" s="265"/>
      <c r="I43" s="265"/>
      <c r="J43" s="199"/>
      <c r="M43" s="1"/>
    </row>
    <row r="44" spans="1:16" ht="45" customHeight="1">
      <c r="B44" s="266" t="s">
        <v>314</v>
      </c>
      <c r="C44" s="266" t="s">
        <v>313</v>
      </c>
      <c r="D44" s="266" t="s">
        <v>312</v>
      </c>
      <c r="E44" s="266" t="s">
        <v>311</v>
      </c>
      <c r="F44" s="267" t="s">
        <v>310</v>
      </c>
      <c r="G44" s="267" t="s">
        <v>309</v>
      </c>
      <c r="H44" s="267" t="s">
        <v>308</v>
      </c>
      <c r="I44" s="267" t="s">
        <v>307</v>
      </c>
      <c r="J44" s="199"/>
    </row>
    <row r="45" spans="1:16" s="6" customFormat="1" ht="14.65" customHeight="1">
      <c r="B45" s="268" t="s">
        <v>4</v>
      </c>
      <c r="C45" s="268" t="s">
        <v>294</v>
      </c>
      <c r="D45" s="268" t="s">
        <v>293</v>
      </c>
      <c r="E45" s="268" t="s">
        <v>306</v>
      </c>
      <c r="F45" s="269" t="s">
        <v>291</v>
      </c>
      <c r="G45" s="269" t="s">
        <v>16</v>
      </c>
      <c r="H45" s="269" t="s">
        <v>291</v>
      </c>
      <c r="I45" s="269" t="s">
        <v>291</v>
      </c>
      <c r="J45" s="250"/>
      <c r="O45" s="7"/>
      <c r="P45" s="7"/>
    </row>
    <row r="46" spans="1:16" s="6" customFormat="1" ht="14.65" customHeight="1">
      <c r="B46" s="268" t="s">
        <v>4</v>
      </c>
      <c r="C46" s="268" t="s">
        <v>294</v>
      </c>
      <c r="D46" s="268" t="s">
        <v>293</v>
      </c>
      <c r="E46" s="268" t="s">
        <v>304</v>
      </c>
      <c r="F46" s="269" t="s">
        <v>291</v>
      </c>
      <c r="G46" s="269" t="s">
        <v>291</v>
      </c>
      <c r="H46" s="269" t="s">
        <v>16</v>
      </c>
      <c r="I46" s="269" t="s">
        <v>291</v>
      </c>
      <c r="J46" s="201"/>
      <c r="L46" s="8"/>
      <c r="O46" s="7"/>
      <c r="P46" s="7"/>
    </row>
    <row r="47" spans="1:16" s="6" customFormat="1" ht="14.65" customHeight="1">
      <c r="B47" s="268" t="s">
        <v>4</v>
      </c>
      <c r="C47" s="268" t="s">
        <v>294</v>
      </c>
      <c r="D47" s="268" t="s">
        <v>293</v>
      </c>
      <c r="E47" s="268" t="s">
        <v>305</v>
      </c>
      <c r="F47" s="269" t="s">
        <v>16</v>
      </c>
      <c r="G47" s="269" t="s">
        <v>16</v>
      </c>
      <c r="H47" s="269" t="s">
        <v>291</v>
      </c>
      <c r="I47" s="269" t="s">
        <v>291</v>
      </c>
      <c r="J47" s="209">
        <f>COUNTIF(F45:I47,"D")</f>
        <v>4</v>
      </c>
      <c r="L47" s="24"/>
      <c r="O47" s="7"/>
      <c r="P47" s="7"/>
    </row>
    <row r="48" spans="1:16" s="6" customFormat="1" ht="14.65" customHeight="1">
      <c r="B48" s="268" t="s">
        <v>5</v>
      </c>
      <c r="C48" s="268" t="s">
        <v>294</v>
      </c>
      <c r="D48" s="268" t="s">
        <v>293</v>
      </c>
      <c r="E48" s="268" t="s">
        <v>300</v>
      </c>
      <c r="F48" s="269" t="s">
        <v>291</v>
      </c>
      <c r="G48" s="269" t="s">
        <v>16</v>
      </c>
      <c r="H48" s="269" t="s">
        <v>291</v>
      </c>
      <c r="I48" s="269" t="s">
        <v>16</v>
      </c>
      <c r="J48" s="210"/>
      <c r="L48" s="99"/>
      <c r="O48" s="7"/>
      <c r="P48" s="7"/>
    </row>
    <row r="49" spans="2:16" s="6" customFormat="1" ht="14.65" customHeight="1">
      <c r="B49" s="268" t="s">
        <v>5</v>
      </c>
      <c r="C49" s="268" t="s">
        <v>294</v>
      </c>
      <c r="D49" s="268" t="s">
        <v>293</v>
      </c>
      <c r="E49" s="268" t="s">
        <v>299</v>
      </c>
      <c r="F49" s="269" t="s">
        <v>291</v>
      </c>
      <c r="G49" s="269" t="s">
        <v>291</v>
      </c>
      <c r="H49" s="269" t="s">
        <v>16</v>
      </c>
      <c r="I49" s="269" t="s">
        <v>16</v>
      </c>
      <c r="J49" s="210"/>
      <c r="L49" s="99"/>
      <c r="O49" s="7"/>
      <c r="P49" s="7"/>
    </row>
    <row r="50" spans="2:16" s="6" customFormat="1" ht="14.65" customHeight="1">
      <c r="B50" s="268" t="s">
        <v>5</v>
      </c>
      <c r="C50" s="268" t="s">
        <v>294</v>
      </c>
      <c r="D50" s="268" t="s">
        <v>293</v>
      </c>
      <c r="E50" s="268" t="s">
        <v>304</v>
      </c>
      <c r="F50" s="269" t="s">
        <v>291</v>
      </c>
      <c r="G50" s="269" t="s">
        <v>16</v>
      </c>
      <c r="H50" s="269" t="s">
        <v>291</v>
      </c>
      <c r="I50" s="269" t="s">
        <v>291</v>
      </c>
      <c r="J50" s="210"/>
      <c r="L50" s="99"/>
      <c r="O50" s="7"/>
      <c r="P50" s="7"/>
    </row>
    <row r="51" spans="2:16" s="6" customFormat="1" ht="14.65" customHeight="1">
      <c r="B51" s="268" t="s">
        <v>5</v>
      </c>
      <c r="C51" s="268" t="s">
        <v>294</v>
      </c>
      <c r="D51" s="268" t="s">
        <v>293</v>
      </c>
      <c r="E51" s="268" t="s">
        <v>302</v>
      </c>
      <c r="F51" s="269" t="s">
        <v>291</v>
      </c>
      <c r="G51" s="269" t="s">
        <v>291</v>
      </c>
      <c r="H51" s="269" t="s">
        <v>16</v>
      </c>
      <c r="I51" s="269" t="s">
        <v>291</v>
      </c>
      <c r="J51" s="209">
        <f>COUNTIF(F48:I51,"D")</f>
        <v>6</v>
      </c>
      <c r="L51" s="99"/>
      <c r="O51" s="7"/>
      <c r="P51" s="7"/>
    </row>
    <row r="52" spans="2:16" s="6" customFormat="1" ht="14.65" customHeight="1">
      <c r="B52" s="268" t="s">
        <v>303</v>
      </c>
      <c r="C52" s="268" t="s">
        <v>294</v>
      </c>
      <c r="D52" s="268" t="s">
        <v>293</v>
      </c>
      <c r="E52" s="268" t="s">
        <v>299</v>
      </c>
      <c r="F52" s="269" t="s">
        <v>291</v>
      </c>
      <c r="G52" s="269" t="s">
        <v>291</v>
      </c>
      <c r="H52" s="269" t="s">
        <v>16</v>
      </c>
      <c r="I52" s="269" t="s">
        <v>291</v>
      </c>
      <c r="J52" s="209"/>
      <c r="O52" s="7"/>
      <c r="P52" s="7"/>
    </row>
    <row r="53" spans="2:16" s="6" customFormat="1" ht="14.65" customHeight="1">
      <c r="B53" s="268" t="s">
        <v>303</v>
      </c>
      <c r="C53" s="268" t="s">
        <v>294</v>
      </c>
      <c r="D53" s="268" t="s">
        <v>293</v>
      </c>
      <c r="E53" s="268" t="s">
        <v>296</v>
      </c>
      <c r="F53" s="269" t="s">
        <v>291</v>
      </c>
      <c r="G53" s="269" t="s">
        <v>291</v>
      </c>
      <c r="H53" s="269" t="s">
        <v>16</v>
      </c>
      <c r="I53" s="269" t="s">
        <v>291</v>
      </c>
      <c r="J53" s="209"/>
      <c r="O53" s="7"/>
      <c r="P53" s="7"/>
    </row>
    <row r="54" spans="2:16" s="6" customFormat="1" ht="14.65" customHeight="1">
      <c r="B54" s="268" t="s">
        <v>303</v>
      </c>
      <c r="C54" s="268" t="s">
        <v>294</v>
      </c>
      <c r="D54" s="268" t="s">
        <v>293</v>
      </c>
      <c r="E54" s="268" t="s">
        <v>302</v>
      </c>
      <c r="F54" s="269" t="s">
        <v>291</v>
      </c>
      <c r="G54" s="269" t="s">
        <v>291</v>
      </c>
      <c r="H54" s="269" t="s">
        <v>16</v>
      </c>
      <c r="I54" s="269" t="s">
        <v>291</v>
      </c>
      <c r="J54" s="209"/>
      <c r="O54" s="7"/>
      <c r="P54" s="7"/>
    </row>
    <row r="55" spans="2:16" s="6" customFormat="1" ht="14.65" customHeight="1">
      <c r="B55" s="268" t="s">
        <v>295</v>
      </c>
      <c r="C55" s="268" t="s">
        <v>294</v>
      </c>
      <c r="D55" s="268" t="s">
        <v>293</v>
      </c>
      <c r="E55" s="268" t="s">
        <v>301</v>
      </c>
      <c r="F55" s="269" t="s">
        <v>291</v>
      </c>
      <c r="G55" s="269" t="s">
        <v>16</v>
      </c>
      <c r="H55" s="269" t="s">
        <v>291</v>
      </c>
      <c r="I55" s="269" t="s">
        <v>291</v>
      </c>
      <c r="J55" s="270"/>
      <c r="L55" s="7"/>
      <c r="O55" s="7"/>
      <c r="P55" s="7"/>
    </row>
    <row r="56" spans="2:16" s="6" customFormat="1" ht="14.65" customHeight="1">
      <c r="B56" s="268" t="s">
        <v>295</v>
      </c>
      <c r="C56" s="268" t="s">
        <v>294</v>
      </c>
      <c r="D56" s="268" t="s">
        <v>293</v>
      </c>
      <c r="E56" s="268" t="s">
        <v>300</v>
      </c>
      <c r="F56" s="269" t="s">
        <v>291</v>
      </c>
      <c r="G56" s="269" t="s">
        <v>16</v>
      </c>
      <c r="H56" s="269" t="s">
        <v>291</v>
      </c>
      <c r="I56" s="269" t="s">
        <v>16</v>
      </c>
      <c r="J56" s="270"/>
      <c r="L56" s="7"/>
      <c r="O56" s="7"/>
      <c r="P56" s="7"/>
    </row>
    <row r="57" spans="2:16" s="6" customFormat="1" ht="14.65" customHeight="1">
      <c r="B57" s="268" t="s">
        <v>295</v>
      </c>
      <c r="C57" s="268" t="s">
        <v>294</v>
      </c>
      <c r="D57" s="268" t="s">
        <v>293</v>
      </c>
      <c r="E57" s="268" t="s">
        <v>299</v>
      </c>
      <c r="F57" s="269" t="s">
        <v>291</v>
      </c>
      <c r="G57" s="269" t="s">
        <v>291</v>
      </c>
      <c r="H57" s="269" t="s">
        <v>16</v>
      </c>
      <c r="I57" s="269" t="s">
        <v>291</v>
      </c>
      <c r="J57" s="270"/>
      <c r="L57" s="7"/>
      <c r="O57" s="7"/>
      <c r="P57" s="7"/>
    </row>
    <row r="58" spans="2:16" s="6" customFormat="1" ht="14.65" customHeight="1">
      <c r="B58" s="268" t="s">
        <v>295</v>
      </c>
      <c r="C58" s="268" t="s">
        <v>294</v>
      </c>
      <c r="D58" s="268" t="s">
        <v>293</v>
      </c>
      <c r="E58" s="268" t="s">
        <v>298</v>
      </c>
      <c r="F58" s="269" t="s">
        <v>291</v>
      </c>
      <c r="G58" s="269" t="s">
        <v>16</v>
      </c>
      <c r="H58" s="269" t="s">
        <v>16</v>
      </c>
      <c r="I58" s="269" t="s">
        <v>291</v>
      </c>
      <c r="J58" s="270"/>
      <c r="L58" s="7"/>
      <c r="O58" s="7"/>
      <c r="P58" s="7"/>
    </row>
    <row r="59" spans="2:16" s="6" customFormat="1" ht="14.65" customHeight="1">
      <c r="B59" s="268" t="s">
        <v>295</v>
      </c>
      <c r="C59" s="268" t="s">
        <v>294</v>
      </c>
      <c r="D59" s="268" t="s">
        <v>293</v>
      </c>
      <c r="E59" s="268" t="s">
        <v>297</v>
      </c>
      <c r="F59" s="269" t="s">
        <v>291</v>
      </c>
      <c r="G59" s="269" t="s">
        <v>16</v>
      </c>
      <c r="H59" s="269" t="s">
        <v>291</v>
      </c>
      <c r="I59" s="269" t="s">
        <v>291</v>
      </c>
      <c r="J59" s="270"/>
      <c r="L59" s="7"/>
      <c r="O59" s="7"/>
      <c r="P59" s="7"/>
    </row>
    <row r="60" spans="2:16" s="6" customFormat="1" ht="14.65" customHeight="1">
      <c r="B60" s="268" t="s">
        <v>295</v>
      </c>
      <c r="C60" s="268" t="s">
        <v>294</v>
      </c>
      <c r="D60" s="268" t="s">
        <v>293</v>
      </c>
      <c r="E60" s="268" t="s">
        <v>296</v>
      </c>
      <c r="F60" s="269" t="s">
        <v>291</v>
      </c>
      <c r="G60" s="269" t="s">
        <v>291</v>
      </c>
      <c r="H60" s="269" t="s">
        <v>16</v>
      </c>
      <c r="I60" s="269" t="s">
        <v>291</v>
      </c>
      <c r="J60" s="270"/>
      <c r="L60" s="7"/>
      <c r="O60" s="7"/>
      <c r="P60" s="7"/>
    </row>
    <row r="61" spans="2:16" s="6" customFormat="1" ht="14.65" customHeight="1">
      <c r="B61" s="268" t="s">
        <v>295</v>
      </c>
      <c r="C61" s="268" t="s">
        <v>294</v>
      </c>
      <c r="D61" s="268" t="s">
        <v>293</v>
      </c>
      <c r="E61" s="268" t="s">
        <v>292</v>
      </c>
      <c r="F61" s="269" t="s">
        <v>291</v>
      </c>
      <c r="G61" s="269" t="s">
        <v>291</v>
      </c>
      <c r="H61" s="269" t="s">
        <v>16</v>
      </c>
      <c r="I61" s="269" t="s">
        <v>291</v>
      </c>
      <c r="J61" s="270">
        <f>COUNTIF(F52:I61,"D")</f>
        <v>12</v>
      </c>
    </row>
    <row r="62" spans="2:16" s="6" customFormat="1" ht="14.65" customHeight="1">
      <c r="B62" s="231" t="s">
        <v>290</v>
      </c>
      <c r="C62" s="199"/>
      <c r="D62" s="199"/>
      <c r="E62" s="199"/>
      <c r="F62" s="199"/>
      <c r="G62" s="199"/>
      <c r="H62" s="199"/>
      <c r="I62" s="199"/>
      <c r="J62" s="251"/>
    </row>
    <row r="63" spans="2:16" s="6" customFormat="1" ht="14.65" customHeight="1">
      <c r="B63" s="199" t="s">
        <v>289</v>
      </c>
      <c r="C63" s="199"/>
      <c r="D63" s="199"/>
      <c r="E63" s="199"/>
      <c r="F63" s="199"/>
      <c r="G63" s="199"/>
      <c r="H63" s="199"/>
      <c r="I63" s="199"/>
      <c r="J63" s="251"/>
    </row>
    <row r="64" spans="2:16" s="6" customFormat="1" ht="14.65" customHeight="1">
      <c r="B64" s="199"/>
      <c r="C64" s="199"/>
      <c r="D64" s="199"/>
      <c r="E64" s="199"/>
      <c r="F64" s="199"/>
      <c r="G64" s="199"/>
      <c r="H64" s="199"/>
      <c r="I64" s="199"/>
      <c r="J64" s="251"/>
    </row>
    <row r="65" spans="2:10" s="6" customFormat="1" ht="14.65" customHeight="1">
      <c r="B65" s="263" t="s">
        <v>317</v>
      </c>
      <c r="C65" s="264"/>
      <c r="D65" s="199"/>
      <c r="E65" s="199"/>
      <c r="F65" s="199"/>
      <c r="G65" s="199"/>
      <c r="H65" s="199"/>
      <c r="I65" s="199"/>
      <c r="J65" s="251"/>
    </row>
    <row r="66" spans="2:10" s="6" customFormat="1" ht="14.65" customHeight="1">
      <c r="B66" s="263" t="s">
        <v>1114</v>
      </c>
      <c r="C66" s="264"/>
      <c r="D66" s="199"/>
      <c r="E66" s="199"/>
      <c r="F66" s="199"/>
      <c r="G66" s="199"/>
      <c r="H66" s="199"/>
      <c r="I66" s="199"/>
      <c r="J66" s="251"/>
    </row>
    <row r="67" spans="2:10" ht="14.65" customHeight="1">
      <c r="B67" s="263" t="s">
        <v>1115</v>
      </c>
      <c r="C67" s="264"/>
      <c r="D67" s="199"/>
      <c r="E67" s="199"/>
      <c r="F67" s="199"/>
      <c r="G67" s="199"/>
      <c r="H67" s="199"/>
      <c r="I67" s="199"/>
      <c r="J67" s="199"/>
    </row>
    <row r="68" spans="2:10" ht="14.65" customHeight="1">
      <c r="B68" s="859"/>
      <c r="C68" s="199"/>
      <c r="D68" s="199"/>
      <c r="E68" s="199"/>
      <c r="F68" s="199"/>
      <c r="G68" s="199"/>
      <c r="H68" s="199"/>
      <c r="I68" s="199"/>
      <c r="J68" s="199"/>
    </row>
    <row r="69" spans="2:10" ht="39" customHeight="1">
      <c r="B69" s="860" t="s">
        <v>314</v>
      </c>
      <c r="C69" s="860" t="s">
        <v>313</v>
      </c>
      <c r="D69" s="860" t="s">
        <v>312</v>
      </c>
      <c r="E69" s="860" t="s">
        <v>311</v>
      </c>
      <c r="F69" s="861" t="s">
        <v>310</v>
      </c>
      <c r="G69" s="861" t="s">
        <v>309</v>
      </c>
      <c r="H69" s="861" t="s">
        <v>308</v>
      </c>
      <c r="I69" s="861" t="s">
        <v>307</v>
      </c>
      <c r="J69" s="861" t="s">
        <v>1117</v>
      </c>
    </row>
    <row r="70" spans="2:10" ht="14.65" customHeight="1">
      <c r="B70" s="862" t="s">
        <v>4</v>
      </c>
      <c r="C70" s="268" t="s">
        <v>294</v>
      </c>
      <c r="D70" s="862" t="s">
        <v>293</v>
      </c>
      <c r="E70" s="862" t="s">
        <v>300</v>
      </c>
      <c r="F70" s="863">
        <v>0</v>
      </c>
      <c r="G70" s="863">
        <v>0</v>
      </c>
      <c r="H70" s="863">
        <v>0</v>
      </c>
      <c r="I70" s="863">
        <v>0</v>
      </c>
      <c r="J70" s="863" t="s">
        <v>16</v>
      </c>
    </row>
    <row r="71" spans="2:10" ht="14.65" customHeight="1">
      <c r="B71" s="862" t="s">
        <v>4</v>
      </c>
      <c r="C71" s="268" t="s">
        <v>294</v>
      </c>
      <c r="D71" s="862" t="s">
        <v>293</v>
      </c>
      <c r="E71" s="862" t="s">
        <v>299</v>
      </c>
      <c r="F71" s="863">
        <v>0</v>
      </c>
      <c r="G71" s="863">
        <v>0</v>
      </c>
      <c r="H71" s="863">
        <v>0</v>
      </c>
      <c r="I71" s="863">
        <v>0</v>
      </c>
      <c r="J71" s="863" t="s">
        <v>16</v>
      </c>
    </row>
    <row r="72" spans="2:10" ht="14.65" customHeight="1">
      <c r="B72" s="862" t="s">
        <v>4</v>
      </c>
      <c r="C72" s="268" t="s">
        <v>294</v>
      </c>
      <c r="D72" s="862" t="s">
        <v>293</v>
      </c>
      <c r="E72" s="862" t="s">
        <v>296</v>
      </c>
      <c r="F72" s="863">
        <v>0</v>
      </c>
      <c r="G72" s="863">
        <v>0</v>
      </c>
      <c r="H72" s="863">
        <v>0</v>
      </c>
      <c r="I72" s="863" t="s">
        <v>16</v>
      </c>
      <c r="J72" s="863">
        <v>0</v>
      </c>
    </row>
    <row r="73" spans="2:10" ht="14.65" customHeight="1">
      <c r="B73" s="862" t="s">
        <v>4</v>
      </c>
      <c r="C73" s="268" t="s">
        <v>294</v>
      </c>
      <c r="D73" s="862" t="s">
        <v>293</v>
      </c>
      <c r="E73" s="862" t="s">
        <v>305</v>
      </c>
      <c r="F73" s="863">
        <v>0</v>
      </c>
      <c r="G73" s="863">
        <v>0</v>
      </c>
      <c r="H73" s="863">
        <v>0</v>
      </c>
      <c r="I73" s="863" t="s">
        <v>16</v>
      </c>
      <c r="J73" s="863">
        <v>0</v>
      </c>
    </row>
    <row r="74" spans="2:10" ht="14.65" customHeight="1">
      <c r="B74" s="862" t="s">
        <v>5</v>
      </c>
      <c r="C74" s="268" t="s">
        <v>294</v>
      </c>
      <c r="D74" s="862" t="s">
        <v>293</v>
      </c>
      <c r="E74" s="862" t="s">
        <v>300</v>
      </c>
      <c r="F74" s="863">
        <v>0</v>
      </c>
      <c r="G74" s="863">
        <v>0</v>
      </c>
      <c r="H74" s="863">
        <v>0</v>
      </c>
      <c r="I74" s="863">
        <v>0</v>
      </c>
      <c r="J74" s="863">
        <v>13</v>
      </c>
    </row>
    <row r="75" spans="2:10" ht="14.65" customHeight="1">
      <c r="B75" s="862" t="s">
        <v>5</v>
      </c>
      <c r="C75" s="268" t="s">
        <v>294</v>
      </c>
      <c r="D75" s="862" t="s">
        <v>293</v>
      </c>
      <c r="E75" s="862" t="s">
        <v>299</v>
      </c>
      <c r="F75" s="863">
        <v>0</v>
      </c>
      <c r="G75" s="863">
        <v>0</v>
      </c>
      <c r="H75" s="863">
        <v>0</v>
      </c>
      <c r="I75" s="863">
        <v>0</v>
      </c>
      <c r="J75" s="863" t="s">
        <v>16</v>
      </c>
    </row>
    <row r="76" spans="2:10" ht="14.65" customHeight="1">
      <c r="B76" s="862" t="s">
        <v>5</v>
      </c>
      <c r="C76" s="268" t="s">
        <v>294</v>
      </c>
      <c r="D76" s="862" t="s">
        <v>293</v>
      </c>
      <c r="E76" s="862" t="s">
        <v>298</v>
      </c>
      <c r="F76" s="863">
        <v>0</v>
      </c>
      <c r="G76" s="863">
        <v>0</v>
      </c>
      <c r="H76" s="863">
        <v>0</v>
      </c>
      <c r="I76" s="863" t="s">
        <v>16</v>
      </c>
      <c r="J76" s="863">
        <v>0</v>
      </c>
    </row>
    <row r="77" spans="2:10" ht="14.65" customHeight="1">
      <c r="B77" s="862" t="s">
        <v>5</v>
      </c>
      <c r="C77" s="268" t="s">
        <v>294</v>
      </c>
      <c r="D77" s="862" t="s">
        <v>293</v>
      </c>
      <c r="E77" s="862" t="s">
        <v>306</v>
      </c>
      <c r="F77" s="863">
        <v>0</v>
      </c>
      <c r="G77" s="863">
        <v>0</v>
      </c>
      <c r="H77" s="863">
        <v>0</v>
      </c>
      <c r="I77" s="863" t="s">
        <v>16</v>
      </c>
      <c r="J77" s="863">
        <v>0</v>
      </c>
    </row>
    <row r="78" spans="2:10" ht="14.65" customHeight="1">
      <c r="B78" s="862" t="s">
        <v>5</v>
      </c>
      <c r="C78" s="268" t="s">
        <v>294</v>
      </c>
      <c r="D78" s="862" t="s">
        <v>293</v>
      </c>
      <c r="E78" s="862" t="s">
        <v>297</v>
      </c>
      <c r="F78" s="863">
        <v>0</v>
      </c>
      <c r="G78" s="863">
        <v>0</v>
      </c>
      <c r="H78" s="863">
        <v>0</v>
      </c>
      <c r="I78" s="863" t="s">
        <v>16</v>
      </c>
      <c r="J78" s="863">
        <v>0</v>
      </c>
    </row>
    <row r="79" spans="2:10" ht="14.65" customHeight="1">
      <c r="B79" s="862" t="s">
        <v>5</v>
      </c>
      <c r="C79" s="268" t="s">
        <v>294</v>
      </c>
      <c r="D79" s="862" t="s">
        <v>293</v>
      </c>
      <c r="E79" s="862" t="s">
        <v>292</v>
      </c>
      <c r="F79" s="863">
        <v>0</v>
      </c>
      <c r="G79" s="863">
        <v>0</v>
      </c>
      <c r="H79" s="863">
        <v>0</v>
      </c>
      <c r="I79" s="863" t="s">
        <v>16</v>
      </c>
      <c r="J79" s="863">
        <v>0</v>
      </c>
    </row>
    <row r="80" spans="2:10" ht="14.65" customHeight="1">
      <c r="B80" s="862" t="s">
        <v>5</v>
      </c>
      <c r="C80" s="268" t="s">
        <v>294</v>
      </c>
      <c r="D80" s="862" t="s">
        <v>293</v>
      </c>
      <c r="E80" s="862" t="s">
        <v>305</v>
      </c>
      <c r="F80" s="863">
        <v>0</v>
      </c>
      <c r="G80" s="863">
        <v>0</v>
      </c>
      <c r="H80" s="863" t="s">
        <v>16</v>
      </c>
      <c r="I80" s="863">
        <v>0</v>
      </c>
      <c r="J80" s="863">
        <v>0</v>
      </c>
    </row>
    <row r="81" spans="2:10" ht="14.65" customHeight="1">
      <c r="B81" s="862" t="s">
        <v>295</v>
      </c>
      <c r="C81" s="268" t="s">
        <v>294</v>
      </c>
      <c r="D81" s="862" t="s">
        <v>293</v>
      </c>
      <c r="E81" s="862" t="s">
        <v>301</v>
      </c>
      <c r="F81" s="863">
        <v>0</v>
      </c>
      <c r="G81" s="863">
        <v>0</v>
      </c>
      <c r="H81" s="863">
        <v>0</v>
      </c>
      <c r="I81" s="863">
        <v>0</v>
      </c>
      <c r="J81" s="863" t="s">
        <v>16</v>
      </c>
    </row>
    <row r="82" spans="2:10" ht="14.65" customHeight="1">
      <c r="B82" s="862" t="s">
        <v>295</v>
      </c>
      <c r="C82" s="268" t="s">
        <v>294</v>
      </c>
      <c r="D82" s="862" t="s">
        <v>293</v>
      </c>
      <c r="E82" s="862" t="s">
        <v>300</v>
      </c>
      <c r="F82" s="863">
        <v>0</v>
      </c>
      <c r="G82" s="863">
        <v>0</v>
      </c>
      <c r="H82" s="863">
        <v>0</v>
      </c>
      <c r="I82" s="863">
        <v>0</v>
      </c>
      <c r="J82" s="863" t="s">
        <v>16</v>
      </c>
    </row>
    <row r="83" spans="2:10" ht="14.65" customHeight="1">
      <c r="B83" s="862" t="s">
        <v>295</v>
      </c>
      <c r="C83" s="268" t="s">
        <v>294</v>
      </c>
      <c r="D83" s="862" t="s">
        <v>293</v>
      </c>
      <c r="E83" s="862" t="s">
        <v>299</v>
      </c>
      <c r="F83" s="863">
        <v>0</v>
      </c>
      <c r="G83" s="863">
        <v>0</v>
      </c>
      <c r="H83" s="863">
        <v>0</v>
      </c>
      <c r="I83" s="863" t="s">
        <v>16</v>
      </c>
      <c r="J83" s="863" t="s">
        <v>16</v>
      </c>
    </row>
    <row r="84" spans="2:10">
      <c r="B84" s="862" t="s">
        <v>295</v>
      </c>
      <c r="C84" s="268" t="s">
        <v>294</v>
      </c>
      <c r="D84" s="862" t="s">
        <v>293</v>
      </c>
      <c r="E84" s="862" t="s">
        <v>1116</v>
      </c>
      <c r="F84" s="863">
        <v>0</v>
      </c>
      <c r="G84" s="863">
        <v>0</v>
      </c>
      <c r="H84" s="863">
        <v>0</v>
      </c>
      <c r="I84" s="863" t="s">
        <v>16</v>
      </c>
      <c r="J84" s="863">
        <v>0</v>
      </c>
    </row>
    <row r="85" spans="2:10">
      <c r="B85" s="862" t="s">
        <v>295</v>
      </c>
      <c r="C85" s="268" t="s">
        <v>294</v>
      </c>
      <c r="D85" s="862" t="s">
        <v>293</v>
      </c>
      <c r="E85" s="862" t="s">
        <v>304</v>
      </c>
      <c r="F85" s="863">
        <v>0</v>
      </c>
      <c r="G85" s="863">
        <v>0</v>
      </c>
      <c r="H85" s="863">
        <v>0</v>
      </c>
      <c r="I85" s="863" t="s">
        <v>16</v>
      </c>
      <c r="J85" s="863">
        <v>0</v>
      </c>
    </row>
    <row r="86" spans="2:10">
      <c r="B86" s="862" t="s">
        <v>295</v>
      </c>
      <c r="C86" s="268" t="s">
        <v>294</v>
      </c>
      <c r="D86" s="862" t="s">
        <v>293</v>
      </c>
      <c r="E86" s="862" t="s">
        <v>292</v>
      </c>
      <c r="F86" s="863">
        <v>0</v>
      </c>
      <c r="G86" s="863">
        <v>0</v>
      </c>
      <c r="H86" s="863">
        <v>0</v>
      </c>
      <c r="I86" s="863" t="s">
        <v>16</v>
      </c>
      <c r="J86" s="863">
        <v>0</v>
      </c>
    </row>
    <row r="87" spans="2:10">
      <c r="B87" s="862" t="s">
        <v>295</v>
      </c>
      <c r="C87" s="268" t="s">
        <v>294</v>
      </c>
      <c r="D87" s="862" t="s">
        <v>293</v>
      </c>
      <c r="E87" s="862" t="s">
        <v>305</v>
      </c>
      <c r="F87" s="863">
        <v>0</v>
      </c>
      <c r="G87" s="863">
        <v>0</v>
      </c>
      <c r="H87" s="863">
        <v>0</v>
      </c>
      <c r="I87" s="863" t="s">
        <v>16</v>
      </c>
      <c r="J87" s="863">
        <v>0</v>
      </c>
    </row>
    <row r="89" spans="2:10">
      <c r="B89" s="271" t="s">
        <v>288</v>
      </c>
    </row>
    <row r="90" spans="2:10">
      <c r="B90" s="199" t="s">
        <v>287</v>
      </c>
    </row>
    <row r="91" spans="2:10">
      <c r="B91" s="199" t="s">
        <v>319</v>
      </c>
    </row>
  </sheetData>
  <phoneticPr fontId="24" type="noConversion"/>
  <hyperlinks>
    <hyperlink ref="M21" r:id="rId1" xr:uid="{86930995-8F8C-4D47-8471-4BD65CA4AC7E}"/>
    <hyperlink ref="L23" r:id="rId2" xr:uid="{A8B9172F-4E4D-45ED-9D8F-34DEDB0839FB}"/>
    <hyperlink ref="L15" r:id="rId3" xr:uid="{234BCCFC-2CA8-4373-9B78-08BDF11AB538}"/>
    <hyperlink ref="L24" r:id="rId4" xr:uid="{3F46AC67-1620-49D2-BEC3-522087B7A193}"/>
    <hyperlink ref="L21" r:id="rId5" xr:uid="{36906339-DA33-48E9-8893-633985A73F21}"/>
    <hyperlink ref="M23" r:id="rId6" xr:uid="{E24D065D-E46C-4EFF-8515-F071109B5AB0}"/>
    <hyperlink ref="L18" r:id="rId7" xr:uid="{9C7F8845-E4C7-4638-87BC-EA3F5BEE45D2}"/>
    <hyperlink ref="M18" r:id="rId8" xr:uid="{898E9D4F-BA6E-45B8-B4E1-26857A4AD71F}"/>
    <hyperlink ref="N18" r:id="rId9" xr:uid="{BEF4CBCD-F15C-43DF-B7FE-1BE9566905C7}"/>
    <hyperlink ref="O18" r:id="rId10" xr:uid="{8E2B96A0-84E5-4CEC-AC64-6AE6CE411D9A}"/>
    <hyperlink ref="L19" r:id="rId11" xr:uid="{96961735-2BBF-4039-A290-F06DC8A1DC12}"/>
    <hyperlink ref="M19" r:id="rId12" xr:uid="{25815820-5507-44F5-913F-A4F54F1C55D7}"/>
    <hyperlink ref="N19" r:id="rId13" xr:uid="{14930EFF-2EF8-4F72-89FB-CF2CF6F6A269}"/>
    <hyperlink ref="L20" r:id="rId14" xr:uid="{B2FD2D20-3FC0-4ACD-B956-CC79BEDF2551}"/>
  </hyperlinks>
  <pageMargins left="0.7" right="0.7" top="0.75" bottom="0.75" header="0.3" footer="0.3"/>
  <pageSetup scale="87" orientation="portrait" horizontalDpi="1200" verticalDpi="1200"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29814-A308-43A4-A56D-167C89F0C14C}">
  <dimension ref="A1:AF154"/>
  <sheetViews>
    <sheetView zoomScale="112" zoomScaleNormal="112" zoomScaleSheetLayoutView="95" workbookViewId="0">
      <selection activeCell="M29" sqref="M29"/>
    </sheetView>
  </sheetViews>
  <sheetFormatPr defaultColWidth="8.75" defaultRowHeight="12"/>
  <cols>
    <col min="1" max="1" width="3.375" style="199" customWidth="1"/>
    <col min="2" max="2" width="18" style="199" customWidth="1"/>
    <col min="3" max="3" width="10.25" style="199" customWidth="1"/>
    <col min="4" max="4" width="12.375" style="199" customWidth="1"/>
    <col min="5" max="5" width="9.125" style="199" customWidth="1"/>
    <col min="6" max="6" width="9" style="199" customWidth="1"/>
    <col min="7" max="7" width="11.125" style="199" customWidth="1"/>
    <col min="8" max="8" width="11.875" style="199" customWidth="1"/>
    <col min="9" max="10" width="10.125" style="199" customWidth="1"/>
    <col min="11" max="11" width="10.875" style="199" customWidth="1"/>
    <col min="12" max="12" width="6.25" style="199" customWidth="1"/>
    <col min="13" max="13" width="9.125" style="199" customWidth="1"/>
    <col min="14" max="14" width="8.75" style="226"/>
    <col min="15" max="16384" width="8.75" style="199"/>
  </cols>
  <sheetData>
    <row r="1" spans="1:29" ht="18.75">
      <c r="B1" s="289" t="s">
        <v>366</v>
      </c>
    </row>
    <row r="3" spans="1:29">
      <c r="A3" s="199" t="s">
        <v>36</v>
      </c>
      <c r="B3" s="197" t="s">
        <v>250</v>
      </c>
      <c r="C3" s="198"/>
      <c r="D3" s="198"/>
      <c r="E3" s="198"/>
      <c r="F3" s="198"/>
    </row>
    <row r="4" spans="1:29">
      <c r="B4" s="236" t="s">
        <v>243</v>
      </c>
      <c r="C4" s="200"/>
      <c r="D4" s="200"/>
      <c r="E4" s="200"/>
      <c r="F4" s="200"/>
      <c r="G4" s="200"/>
      <c r="H4" s="103"/>
    </row>
    <row r="5" spans="1:29" ht="36">
      <c r="B5" s="201" t="s">
        <v>144</v>
      </c>
      <c r="C5" s="202" t="s">
        <v>1146</v>
      </c>
      <c r="D5" s="203" t="s">
        <v>1147</v>
      </c>
      <c r="E5" s="203" t="s">
        <v>1143</v>
      </c>
      <c r="F5" s="203" t="s">
        <v>1144</v>
      </c>
      <c r="G5" s="204" t="s">
        <v>244</v>
      </c>
      <c r="H5" s="204" t="s">
        <v>252</v>
      </c>
      <c r="I5" s="203" t="s">
        <v>1035</v>
      </c>
      <c r="J5" s="203"/>
      <c r="K5" s="203"/>
      <c r="M5" s="287"/>
      <c r="N5" s="45"/>
      <c r="O5" s="45"/>
      <c r="P5" s="45"/>
      <c r="Q5" s="45"/>
      <c r="R5" s="215"/>
      <c r="S5" s="215"/>
    </row>
    <row r="6" spans="1:29">
      <c r="B6" s="201" t="s">
        <v>233</v>
      </c>
      <c r="C6" s="205"/>
      <c r="D6" s="206">
        <v>32</v>
      </c>
      <c r="G6" s="207">
        <v>0</v>
      </c>
      <c r="H6" s="208"/>
      <c r="K6" s="217"/>
      <c r="M6" s="45"/>
      <c r="N6" s="45"/>
      <c r="O6" s="45"/>
      <c r="P6" s="45"/>
      <c r="Q6" s="45"/>
      <c r="R6" s="215"/>
      <c r="S6" s="215"/>
    </row>
    <row r="7" spans="1:29">
      <c r="B7" s="201" t="s">
        <v>234</v>
      </c>
      <c r="C7" s="205"/>
      <c r="D7" s="208">
        <v>188</v>
      </c>
      <c r="G7" s="207">
        <v>0</v>
      </c>
      <c r="H7" s="208"/>
      <c r="K7" s="217"/>
      <c r="M7" s="287"/>
      <c r="N7" s="45"/>
      <c r="O7" s="530"/>
      <c r="P7" s="530"/>
      <c r="Q7" s="45"/>
      <c r="R7" s="215"/>
      <c r="S7" s="215"/>
    </row>
    <row r="8" spans="1:29">
      <c r="B8" s="201" t="s">
        <v>235</v>
      </c>
      <c r="C8" s="205"/>
      <c r="D8" s="208">
        <v>453</v>
      </c>
      <c r="G8" s="207">
        <v>0</v>
      </c>
      <c r="H8" s="208"/>
      <c r="K8" s="217"/>
      <c r="M8" s="45"/>
      <c r="N8" s="45"/>
      <c r="O8" s="45"/>
      <c r="P8" s="45"/>
      <c r="Q8" s="45"/>
      <c r="R8" s="215"/>
      <c r="S8" s="215"/>
    </row>
    <row r="9" spans="1:29">
      <c r="B9" s="201" t="s">
        <v>236</v>
      </c>
      <c r="C9" s="205" t="s">
        <v>245</v>
      </c>
      <c r="D9" s="208">
        <v>535</v>
      </c>
      <c r="G9" s="207">
        <v>0</v>
      </c>
      <c r="H9" s="208">
        <v>1127</v>
      </c>
      <c r="K9" s="217"/>
      <c r="M9" s="45"/>
      <c r="N9" s="37"/>
      <c r="O9" s="37"/>
      <c r="P9" s="37"/>
      <c r="Q9" s="45"/>
      <c r="R9" s="215"/>
      <c r="S9" s="215"/>
    </row>
    <row r="10" spans="1:29">
      <c r="B10" s="201" t="s">
        <v>237</v>
      </c>
      <c r="C10" s="205" t="s">
        <v>245</v>
      </c>
      <c r="D10" s="208">
        <v>699</v>
      </c>
      <c r="G10" s="207">
        <v>0</v>
      </c>
      <c r="H10" s="208">
        <v>1761</v>
      </c>
      <c r="K10" s="217"/>
      <c r="M10" s="45"/>
      <c r="N10" s="37"/>
      <c r="O10" s="37"/>
      <c r="P10" s="37"/>
      <c r="Q10" s="45"/>
      <c r="R10" s="215"/>
      <c r="S10" s="215"/>
    </row>
    <row r="11" spans="1:29">
      <c r="B11" s="201" t="s">
        <v>238</v>
      </c>
      <c r="C11" s="205" t="s">
        <v>245</v>
      </c>
      <c r="D11" s="208">
        <v>945</v>
      </c>
      <c r="E11" s="237">
        <v>63</v>
      </c>
      <c r="F11" s="237"/>
      <c r="G11" s="207">
        <v>63</v>
      </c>
      <c r="H11" s="208">
        <v>2431</v>
      </c>
      <c r="I11" s="212"/>
      <c r="J11" s="212"/>
      <c r="K11" s="217"/>
      <c r="M11" s="531"/>
      <c r="N11" s="121"/>
      <c r="O11" s="121"/>
      <c r="P11" s="121"/>
      <c r="Q11" s="530"/>
      <c r="R11" s="215"/>
      <c r="S11" s="215"/>
    </row>
    <row r="12" spans="1:29">
      <c r="B12" s="201" t="s">
        <v>239</v>
      </c>
      <c r="C12" s="205" t="s">
        <v>1145</v>
      </c>
      <c r="D12" s="208">
        <v>613</v>
      </c>
      <c r="E12" s="237">
        <v>194</v>
      </c>
      <c r="F12" s="237"/>
      <c r="G12" s="207">
        <v>194</v>
      </c>
      <c r="H12" s="208">
        <v>2667</v>
      </c>
      <c r="I12" s="212"/>
      <c r="J12" s="212"/>
      <c r="K12" s="217"/>
      <c r="R12" s="215"/>
      <c r="S12" s="215"/>
    </row>
    <row r="13" spans="1:29">
      <c r="B13" s="201" t="s">
        <v>240</v>
      </c>
      <c r="C13" s="205">
        <v>60</v>
      </c>
      <c r="D13" s="208">
        <v>1879</v>
      </c>
      <c r="E13" s="237" t="s">
        <v>1145</v>
      </c>
      <c r="F13" s="237" t="s">
        <v>16</v>
      </c>
      <c r="G13" s="207">
        <v>172</v>
      </c>
      <c r="H13" s="208">
        <v>3672</v>
      </c>
      <c r="I13" s="212"/>
      <c r="J13" s="212"/>
      <c r="K13" s="217"/>
      <c r="M13" s="531"/>
      <c r="N13" s="121"/>
      <c r="O13" s="121"/>
      <c r="P13" s="121"/>
      <c r="Q13" s="530"/>
      <c r="R13" s="215"/>
      <c r="S13" s="215"/>
    </row>
    <row r="14" spans="1:29">
      <c r="B14" s="201" t="s">
        <v>241</v>
      </c>
      <c r="C14" s="205">
        <v>88</v>
      </c>
      <c r="D14" s="208">
        <v>264</v>
      </c>
      <c r="E14" s="237" t="s">
        <v>1145</v>
      </c>
      <c r="F14" s="237" t="s">
        <v>16</v>
      </c>
      <c r="G14" s="207">
        <v>332</v>
      </c>
      <c r="H14" s="208">
        <v>4685</v>
      </c>
      <c r="I14" s="212"/>
      <c r="J14" s="212"/>
      <c r="K14" s="217"/>
      <c r="M14" s="531"/>
      <c r="N14" s="121"/>
      <c r="O14" s="121"/>
      <c r="P14" s="121"/>
      <c r="Q14" s="530"/>
      <c r="R14" s="215"/>
      <c r="S14" s="215"/>
    </row>
    <row r="15" spans="1:29">
      <c r="B15" s="201" t="s">
        <v>242</v>
      </c>
      <c r="C15" s="205">
        <v>94</v>
      </c>
      <c r="D15" s="208">
        <v>1081</v>
      </c>
      <c r="E15" s="237">
        <v>396</v>
      </c>
      <c r="F15" s="237">
        <v>25</v>
      </c>
      <c r="G15" s="207">
        <v>421</v>
      </c>
      <c r="H15" s="208">
        <v>5850</v>
      </c>
      <c r="I15" s="212"/>
      <c r="J15" s="212"/>
      <c r="K15" s="217"/>
      <c r="M15" s="45"/>
      <c r="N15" s="45"/>
      <c r="O15" s="45"/>
      <c r="P15" s="45"/>
      <c r="Q15" s="45"/>
      <c r="R15" s="215"/>
      <c r="S15" s="215"/>
    </row>
    <row r="16" spans="1:29">
      <c r="B16" s="201" t="s">
        <v>249</v>
      </c>
      <c r="C16" s="205">
        <v>30</v>
      </c>
      <c r="D16" s="208">
        <v>1422</v>
      </c>
      <c r="E16" s="237">
        <v>267</v>
      </c>
      <c r="F16" s="237">
        <v>18</v>
      </c>
      <c r="G16" s="207">
        <v>303</v>
      </c>
      <c r="H16" s="208">
        <v>6924</v>
      </c>
      <c r="I16" s="212"/>
      <c r="J16" s="212"/>
      <c r="K16" s="217"/>
      <c r="M16" s="287"/>
      <c r="N16" s="45"/>
      <c r="O16" s="532"/>
      <c r="P16" s="532"/>
      <c r="Q16" s="45"/>
      <c r="R16" s="215"/>
      <c r="S16" s="215"/>
      <c r="V16" s="238"/>
      <c r="W16" s="238"/>
      <c r="X16" s="238"/>
      <c r="Y16" s="238"/>
      <c r="Z16" s="238"/>
      <c r="AA16" s="238"/>
      <c r="AB16" s="238"/>
      <c r="AC16" s="238"/>
    </row>
    <row r="17" spans="1:32">
      <c r="B17" s="201" t="s">
        <v>248</v>
      </c>
      <c r="C17" s="205" t="s">
        <v>1145</v>
      </c>
      <c r="D17" s="208">
        <v>1918</v>
      </c>
      <c r="E17" s="237">
        <v>208</v>
      </c>
      <c r="F17" s="237">
        <v>11</v>
      </c>
      <c r="G17" s="207">
        <v>219</v>
      </c>
      <c r="H17" s="208">
        <v>8856</v>
      </c>
      <c r="I17" s="212"/>
      <c r="J17" s="212"/>
      <c r="K17" s="217"/>
      <c r="M17" s="45"/>
      <c r="N17" s="45"/>
      <c r="O17" s="121"/>
      <c r="P17" s="121"/>
      <c r="Q17" s="45"/>
      <c r="R17" s="215"/>
      <c r="S17" s="215"/>
      <c r="V17" s="238"/>
      <c r="W17" s="238"/>
      <c r="X17" s="238"/>
      <c r="Y17" s="238"/>
      <c r="Z17" s="238"/>
      <c r="AA17" s="238"/>
      <c r="AB17" s="238"/>
      <c r="AC17" s="238"/>
    </row>
    <row r="18" spans="1:32">
      <c r="B18" s="201" t="s">
        <v>282</v>
      </c>
      <c r="C18" s="205">
        <v>37</v>
      </c>
      <c r="D18" s="208">
        <v>1739</v>
      </c>
      <c r="E18" s="237">
        <v>1047</v>
      </c>
      <c r="F18" s="237">
        <v>66</v>
      </c>
      <c r="G18" s="207">
        <v>1113</v>
      </c>
      <c r="H18" s="208">
        <v>9539</v>
      </c>
      <c r="I18" s="212"/>
      <c r="J18" s="212"/>
      <c r="K18" s="217"/>
      <c r="M18" s="45"/>
      <c r="N18" s="45"/>
      <c r="O18" s="533"/>
      <c r="P18" s="533"/>
      <c r="Q18" s="45"/>
      <c r="R18" s="215"/>
      <c r="S18" s="215"/>
      <c r="V18" s="238"/>
      <c r="W18" s="238"/>
      <c r="X18" s="238"/>
      <c r="Y18" s="238"/>
      <c r="Z18" s="238"/>
      <c r="AA18" s="238"/>
      <c r="AB18" s="238"/>
      <c r="AC18" s="238"/>
    </row>
    <row r="19" spans="1:32">
      <c r="B19" s="201" t="s">
        <v>1026</v>
      </c>
      <c r="C19" s="199">
        <v>61</v>
      </c>
      <c r="D19" s="208">
        <v>1569</v>
      </c>
      <c r="E19" s="237">
        <v>1349</v>
      </c>
      <c r="F19" s="237">
        <v>81</v>
      </c>
      <c r="G19" s="199">
        <v>1430</v>
      </c>
      <c r="H19" s="212">
        <v>9669</v>
      </c>
      <c r="I19" s="212">
        <v>6400</v>
      </c>
      <c r="J19" s="212"/>
      <c r="K19" s="217"/>
      <c r="M19" s="45"/>
      <c r="N19" s="45"/>
      <c r="O19" s="121"/>
      <c r="P19" s="121"/>
      <c r="Q19" s="45"/>
      <c r="R19" s="215"/>
      <c r="S19" s="215"/>
      <c r="V19" s="238"/>
      <c r="W19" s="238"/>
      <c r="X19" s="238"/>
      <c r="Y19" s="238"/>
      <c r="Z19" s="238"/>
      <c r="AA19" s="238"/>
      <c r="AB19" s="238"/>
      <c r="AC19" s="238"/>
    </row>
    <row r="20" spans="1:32">
      <c r="B20" s="201" t="s">
        <v>1095</v>
      </c>
      <c r="C20" s="199">
        <v>39</v>
      </c>
      <c r="D20" s="208">
        <v>1765</v>
      </c>
      <c r="E20" s="237">
        <v>764</v>
      </c>
      <c r="F20" s="237">
        <v>176</v>
      </c>
      <c r="G20" s="199">
        <v>940</v>
      </c>
      <c r="H20" s="212">
        <v>10470</v>
      </c>
      <c r="I20" s="212">
        <v>7300</v>
      </c>
      <c r="J20" s="212"/>
      <c r="K20" s="217"/>
      <c r="M20" s="45"/>
      <c r="N20" s="45"/>
      <c r="O20" s="121"/>
      <c r="P20" s="121"/>
      <c r="Q20" s="45"/>
      <c r="R20" s="215"/>
      <c r="S20" s="215"/>
      <c r="V20" s="238"/>
      <c r="W20" s="238"/>
      <c r="X20" s="238"/>
      <c r="Y20" s="238"/>
      <c r="Z20" s="238"/>
      <c r="AA20" s="238"/>
      <c r="AB20" s="238"/>
      <c r="AC20" s="238"/>
    </row>
    <row r="21" spans="1:32">
      <c r="B21" s="201" t="s">
        <v>1135</v>
      </c>
      <c r="C21" s="199">
        <v>47</v>
      </c>
      <c r="D21" s="208">
        <v>1772</v>
      </c>
      <c r="E21" s="237">
        <v>781</v>
      </c>
      <c r="F21" s="237">
        <v>199</v>
      </c>
      <c r="G21" s="199">
        <v>980</v>
      </c>
      <c r="H21" s="212">
        <v>11229</v>
      </c>
      <c r="I21" s="212">
        <v>7900</v>
      </c>
      <c r="J21" s="212"/>
      <c r="K21" s="217"/>
      <c r="M21" s="45"/>
      <c r="N21" s="45"/>
      <c r="O21" s="121"/>
      <c r="P21" s="121"/>
      <c r="Q21" s="45"/>
      <c r="R21" s="215"/>
      <c r="S21" s="215"/>
      <c r="V21" s="238"/>
      <c r="W21" s="238"/>
      <c r="X21" s="238"/>
      <c r="Y21" s="238"/>
      <c r="Z21" s="238"/>
      <c r="AA21" s="238"/>
      <c r="AB21" s="238"/>
      <c r="AC21" s="238"/>
    </row>
    <row r="22" spans="1:32">
      <c r="B22" s="201"/>
      <c r="C22" s="205">
        <f>SUM(C18:C21)</f>
        <v>184</v>
      </c>
      <c r="D22" s="205">
        <f>SUM(D6:D21)</f>
        <v>16874</v>
      </c>
      <c r="E22" s="205">
        <f t="shared" ref="E22:F22" si="0">SUM(E6:E21)</f>
        <v>5069</v>
      </c>
      <c r="F22" s="205">
        <f t="shared" si="0"/>
        <v>576</v>
      </c>
      <c r="G22" s="205">
        <f>SUM(G6:G21)</f>
        <v>6167</v>
      </c>
      <c r="H22" s="239"/>
      <c r="I22" s="212"/>
      <c r="M22" s="45"/>
      <c r="O22" s="212"/>
      <c r="P22" s="212"/>
      <c r="Q22" s="215"/>
      <c r="R22" s="215"/>
      <c r="S22" s="215"/>
      <c r="V22" s="238"/>
      <c r="W22" s="238"/>
      <c r="X22" s="238"/>
      <c r="Y22" s="238"/>
      <c r="Z22" s="238"/>
      <c r="AA22" s="238"/>
      <c r="AB22" s="238"/>
      <c r="AC22" s="238"/>
    </row>
    <row r="23" spans="1:32" ht="14.25">
      <c r="C23" s="888"/>
      <c r="D23" s="210"/>
      <c r="E23" s="217"/>
      <c r="F23" s="201"/>
      <c r="G23" s="239"/>
      <c r="H23" s="216"/>
      <c r="I23" s="212"/>
      <c r="M23" s="215"/>
      <c r="N23" s="262"/>
      <c r="O23" s="121"/>
      <c r="P23" s="121"/>
      <c r="Q23" s="215"/>
      <c r="R23" s="215"/>
      <c r="S23" s="215"/>
      <c r="V23" s="238"/>
      <c r="W23" s="238"/>
      <c r="X23" s="238"/>
      <c r="Y23" s="238"/>
      <c r="Z23" s="238"/>
      <c r="AA23" s="238"/>
      <c r="AB23" s="238"/>
      <c r="AC23" s="238"/>
    </row>
    <row r="24" spans="1:32">
      <c r="B24" s="201"/>
      <c r="C24" s="209"/>
      <c r="D24" s="210"/>
      <c r="E24" s="216"/>
      <c r="F24" s="250"/>
      <c r="G24" s="239"/>
      <c r="H24" s="216"/>
      <c r="I24" s="212"/>
      <c r="Q24" s="215"/>
      <c r="R24" s="215"/>
      <c r="S24" s="215"/>
      <c r="V24" s="238"/>
      <c r="W24" s="238"/>
      <c r="X24" s="238"/>
      <c r="Y24" s="238"/>
      <c r="Z24" s="238"/>
      <c r="AA24" s="238"/>
      <c r="AB24" s="238"/>
      <c r="AC24" s="238"/>
    </row>
    <row r="25" spans="1:32">
      <c r="A25" s="199" t="s">
        <v>36</v>
      </c>
      <c r="B25" s="575" t="s">
        <v>691</v>
      </c>
      <c r="C25" s="198"/>
      <c r="D25" s="198"/>
      <c r="E25" s="198"/>
      <c r="F25" s="198"/>
      <c r="G25" s="212"/>
      <c r="H25" s="212"/>
      <c r="I25" s="211"/>
      <c r="J25" s="211"/>
      <c r="U25" s="238"/>
      <c r="V25" s="238"/>
      <c r="W25" s="238"/>
      <c r="X25" s="238"/>
      <c r="Y25" s="238"/>
      <c r="Z25" s="238"/>
      <c r="AA25" s="238"/>
      <c r="AB25" s="238"/>
      <c r="AC25" s="238"/>
      <c r="AD25" s="238"/>
      <c r="AE25" s="238"/>
      <c r="AF25" s="238"/>
    </row>
    <row r="26" spans="1:32">
      <c r="B26" s="211" t="s">
        <v>694</v>
      </c>
      <c r="H26" s="211"/>
      <c r="U26" s="238"/>
      <c r="V26" s="238"/>
      <c r="W26" s="238"/>
      <c r="X26" s="238"/>
      <c r="Y26" s="238"/>
      <c r="Z26" s="238"/>
      <c r="AA26" s="238"/>
      <c r="AB26" s="238"/>
      <c r="AC26" s="238"/>
      <c r="AD26" s="238"/>
      <c r="AE26" s="238"/>
      <c r="AF26" s="238"/>
    </row>
    <row r="27" spans="1:32">
      <c r="B27" s="240" t="s">
        <v>165</v>
      </c>
      <c r="C27" s="213"/>
      <c r="M27" s="45"/>
      <c r="O27" s="239"/>
      <c r="U27" s="238"/>
      <c r="V27" s="238"/>
      <c r="W27" s="238"/>
      <c r="X27" s="238"/>
      <c r="Y27" s="238"/>
      <c r="Z27" s="238"/>
      <c r="AA27" s="238"/>
      <c r="AB27" s="238"/>
      <c r="AC27" s="238"/>
      <c r="AD27" s="238"/>
      <c r="AE27" s="238"/>
      <c r="AF27" s="238"/>
    </row>
    <row r="28" spans="1:32">
      <c r="H28" s="211"/>
      <c r="U28" s="238"/>
      <c r="V28" s="238"/>
      <c r="W28" s="238"/>
      <c r="X28" s="238"/>
      <c r="Y28" s="238"/>
      <c r="Z28" s="238"/>
      <c r="AA28" s="238"/>
      <c r="AB28" s="238"/>
      <c r="AC28" s="238"/>
      <c r="AD28" s="238"/>
      <c r="AE28" s="238"/>
      <c r="AF28" s="238"/>
    </row>
    <row r="29" spans="1:32">
      <c r="D29" s="214" t="s">
        <v>167</v>
      </c>
      <c r="U29" s="238"/>
      <c r="V29" s="238"/>
      <c r="W29" s="238"/>
      <c r="X29" s="238"/>
      <c r="Y29" s="238"/>
      <c r="Z29" s="238"/>
      <c r="AA29" s="238"/>
      <c r="AB29" s="238"/>
      <c r="AC29" s="238"/>
      <c r="AD29" s="238"/>
      <c r="AE29" s="238"/>
      <c r="AF29" s="238"/>
    </row>
    <row r="30" spans="1:32" ht="36">
      <c r="C30" s="199" t="s">
        <v>685</v>
      </c>
      <c r="D30" s="199" t="s">
        <v>161</v>
      </c>
      <c r="E30" s="199" t="s">
        <v>162</v>
      </c>
      <c r="F30" s="199" t="s">
        <v>163</v>
      </c>
      <c r="G30" s="535" t="s">
        <v>690</v>
      </c>
      <c r="H30" s="203" t="s">
        <v>692</v>
      </c>
      <c r="I30" s="211"/>
      <c r="U30" s="238"/>
      <c r="V30" s="238"/>
      <c r="W30" s="238"/>
      <c r="X30" s="238"/>
      <c r="Y30" s="238"/>
      <c r="Z30" s="238"/>
      <c r="AA30" s="238"/>
      <c r="AB30" s="238"/>
      <c r="AC30" s="238"/>
      <c r="AD30" s="238"/>
      <c r="AE30" s="238"/>
      <c r="AF30" s="238"/>
    </row>
    <row r="31" spans="1:32">
      <c r="B31" s="199" t="s">
        <v>357</v>
      </c>
      <c r="C31" s="216">
        <v>5191</v>
      </c>
      <c r="D31" s="216">
        <v>351</v>
      </c>
      <c r="E31" s="216">
        <v>10</v>
      </c>
      <c r="F31" s="216">
        <f>SUM(D31:E31)</f>
        <v>361</v>
      </c>
      <c r="G31" s="217">
        <f t="shared" ref="G31:G36" si="1">F31/$F$36</f>
        <v>0.22848101265822784</v>
      </c>
      <c r="H31" s="217">
        <f>F31/C31</f>
        <v>6.9543440570217691E-2</v>
      </c>
      <c r="U31" s="238"/>
      <c r="V31" s="238"/>
      <c r="W31" s="238"/>
      <c r="X31" s="238"/>
      <c r="Y31" s="238"/>
      <c r="Z31" s="238"/>
      <c r="AA31" s="238"/>
      <c r="AB31" s="238"/>
      <c r="AC31" s="238"/>
      <c r="AD31" s="238"/>
      <c r="AE31" s="238"/>
      <c r="AF31" s="238"/>
    </row>
    <row r="32" spans="1:32">
      <c r="B32" s="199" t="s">
        <v>1</v>
      </c>
      <c r="C32" s="216">
        <v>4329</v>
      </c>
      <c r="D32" s="216">
        <v>1126</v>
      </c>
      <c r="E32" s="216">
        <v>30</v>
      </c>
      <c r="F32" s="216">
        <f>SUM(D32:E32)</f>
        <v>1156</v>
      </c>
      <c r="G32" s="217">
        <f t="shared" si="1"/>
        <v>0.73164556962025318</v>
      </c>
      <c r="H32" s="217">
        <f>F32/C32</f>
        <v>0.26703626703626704</v>
      </c>
      <c r="U32" s="238"/>
      <c r="V32" s="238"/>
      <c r="W32" s="238"/>
      <c r="X32" s="238"/>
      <c r="Y32" s="238"/>
      <c r="Z32" s="238"/>
      <c r="AA32" s="238"/>
      <c r="AB32" s="238"/>
      <c r="AC32" s="238"/>
      <c r="AD32" s="238"/>
      <c r="AE32" s="238"/>
      <c r="AF32" s="238"/>
    </row>
    <row r="33" spans="2:32">
      <c r="B33" s="199" t="s">
        <v>684</v>
      </c>
      <c r="C33" s="216"/>
      <c r="D33" s="216">
        <v>7</v>
      </c>
      <c r="E33" s="216">
        <v>0</v>
      </c>
      <c r="F33" s="216">
        <f>SUM(D33:E33)</f>
        <v>7</v>
      </c>
      <c r="G33" s="217">
        <f t="shared" si="1"/>
        <v>4.4303797468354432E-3</v>
      </c>
      <c r="U33" s="238"/>
      <c r="V33" s="238"/>
      <c r="W33" s="238"/>
      <c r="X33" s="238"/>
      <c r="Y33" s="238"/>
      <c r="Z33" s="238"/>
      <c r="AA33" s="238"/>
      <c r="AB33" s="238"/>
      <c r="AC33" s="238"/>
      <c r="AD33" s="238"/>
      <c r="AE33" s="238"/>
      <c r="AF33" s="238"/>
    </row>
    <row r="34" spans="2:32">
      <c r="B34" s="199" t="s">
        <v>172</v>
      </c>
      <c r="C34" s="216"/>
      <c r="D34" s="216">
        <v>0</v>
      </c>
      <c r="E34" s="216">
        <v>0</v>
      </c>
      <c r="F34" s="216">
        <v>0</v>
      </c>
      <c r="G34" s="217">
        <f t="shared" si="1"/>
        <v>0</v>
      </c>
      <c r="U34" s="238"/>
      <c r="V34" s="238"/>
      <c r="W34" s="238"/>
      <c r="X34" s="238"/>
      <c r="Y34" s="238"/>
      <c r="Z34" s="238"/>
      <c r="AA34" s="238"/>
      <c r="AB34" s="238"/>
      <c r="AC34" s="238"/>
      <c r="AD34" s="238"/>
      <c r="AE34" s="238"/>
      <c r="AF34" s="238"/>
    </row>
    <row r="35" spans="2:32">
      <c r="B35" s="199" t="s">
        <v>159</v>
      </c>
      <c r="C35" s="216"/>
      <c r="D35" s="216">
        <v>35</v>
      </c>
      <c r="E35" s="216">
        <v>21</v>
      </c>
      <c r="F35" s="216">
        <f>SUM(D35:E35)</f>
        <v>56</v>
      </c>
      <c r="G35" s="217">
        <f t="shared" si="1"/>
        <v>3.5443037974683546E-2</v>
      </c>
      <c r="U35" s="238"/>
      <c r="V35" s="238"/>
      <c r="W35" s="238"/>
      <c r="X35" s="238"/>
      <c r="Y35" s="238"/>
      <c r="Z35" s="238"/>
      <c r="AA35" s="238"/>
      <c r="AB35" s="238"/>
      <c r="AC35" s="238"/>
      <c r="AD35" s="238"/>
      <c r="AE35" s="238"/>
      <c r="AF35" s="238"/>
    </row>
    <row r="36" spans="2:32">
      <c r="B36" s="199" t="s">
        <v>160</v>
      </c>
      <c r="C36" s="216"/>
      <c r="D36" s="216">
        <f>SUM(D31:D35)</f>
        <v>1519</v>
      </c>
      <c r="E36" s="216">
        <f>SUM(E31:E35)</f>
        <v>61</v>
      </c>
      <c r="F36" s="216">
        <f>SUM(F31:F35)</f>
        <v>1580</v>
      </c>
      <c r="G36" s="217">
        <f t="shared" si="1"/>
        <v>1</v>
      </c>
      <c r="U36" s="238"/>
      <c r="V36" s="238"/>
      <c r="W36" s="238"/>
      <c r="X36" s="238"/>
      <c r="Y36" s="238"/>
      <c r="Z36" s="238"/>
      <c r="AA36" s="238"/>
      <c r="AB36" s="238"/>
      <c r="AC36" s="238"/>
      <c r="AD36" s="238"/>
      <c r="AE36" s="238"/>
      <c r="AF36" s="238"/>
    </row>
    <row r="37" spans="2:32">
      <c r="N37" s="199"/>
      <c r="O37" s="226"/>
      <c r="U37" s="238"/>
      <c r="V37" s="238"/>
      <c r="W37" s="238"/>
      <c r="X37" s="238"/>
      <c r="Y37" s="238"/>
      <c r="Z37" s="238"/>
      <c r="AA37" s="238"/>
      <c r="AB37" s="238"/>
      <c r="AC37" s="238"/>
      <c r="AD37" s="238"/>
      <c r="AE37" s="238"/>
      <c r="AF37" s="238"/>
    </row>
    <row r="38" spans="2:32">
      <c r="B38" s="214" t="s">
        <v>814</v>
      </c>
      <c r="G38" s="226"/>
      <c r="N38" s="199"/>
      <c r="U38" s="238"/>
      <c r="V38" s="238"/>
      <c r="W38" s="238"/>
      <c r="X38" s="238"/>
      <c r="Y38" s="238"/>
      <c r="Z38" s="238"/>
      <c r="AA38" s="238"/>
      <c r="AB38" s="238"/>
      <c r="AC38" s="238"/>
      <c r="AD38" s="238"/>
      <c r="AE38" s="238"/>
      <c r="AF38" s="238"/>
    </row>
    <row r="39" spans="2:32">
      <c r="B39" s="199" t="s">
        <v>695</v>
      </c>
      <c r="G39" s="226"/>
      <c r="N39" s="199"/>
      <c r="U39" s="238"/>
      <c r="V39" s="238"/>
      <c r="W39" s="238"/>
      <c r="X39" s="238"/>
      <c r="Y39" s="238"/>
      <c r="Z39" s="238"/>
      <c r="AA39" s="238"/>
      <c r="AB39" s="238"/>
      <c r="AC39" s="238"/>
      <c r="AD39" s="238"/>
      <c r="AE39" s="238"/>
      <c r="AF39" s="238"/>
    </row>
    <row r="40" spans="2:32">
      <c r="B40" s="213" t="s">
        <v>816</v>
      </c>
      <c r="G40" s="226"/>
      <c r="N40" s="199"/>
      <c r="U40" s="238"/>
      <c r="V40" s="238"/>
      <c r="W40" s="238"/>
      <c r="X40" s="238"/>
      <c r="Y40" s="238"/>
      <c r="Z40" s="238"/>
      <c r="AA40" s="238"/>
      <c r="AB40" s="238"/>
      <c r="AC40" s="238"/>
      <c r="AD40" s="238"/>
      <c r="AE40" s="238"/>
      <c r="AF40" s="238"/>
    </row>
    <row r="41" spans="2:32" ht="36">
      <c r="C41" s="199" t="s">
        <v>685</v>
      </c>
      <c r="D41" s="199" t="s">
        <v>161</v>
      </c>
      <c r="E41" s="199" t="s">
        <v>162</v>
      </c>
      <c r="F41" s="199" t="s">
        <v>163</v>
      </c>
      <c r="G41" s="535" t="s">
        <v>690</v>
      </c>
      <c r="H41" s="203" t="s">
        <v>693</v>
      </c>
      <c r="N41" s="199"/>
      <c r="U41" s="238"/>
      <c r="V41" s="238"/>
      <c r="W41" s="241" t="s">
        <v>254</v>
      </c>
      <c r="X41" s="219"/>
      <c r="Y41" s="219"/>
      <c r="Z41" s="219"/>
      <c r="AA41" s="219"/>
      <c r="AB41" s="219"/>
      <c r="AC41" s="219"/>
      <c r="AD41" s="238"/>
      <c r="AE41" s="238"/>
      <c r="AF41" s="238"/>
    </row>
    <row r="42" spans="2:32">
      <c r="B42" s="199" t="s">
        <v>686</v>
      </c>
      <c r="C42" s="216">
        <v>6582</v>
      </c>
      <c r="D42" s="216">
        <v>545</v>
      </c>
      <c r="E42" s="216">
        <v>13</v>
      </c>
      <c r="F42" s="216">
        <f>SUM(D42:E42)</f>
        <v>558</v>
      </c>
      <c r="G42" s="220">
        <f t="shared" ref="G42:G47" si="2">F42/$F$47</f>
        <v>0.1569620253164557</v>
      </c>
      <c r="H42" s="217">
        <f>F42/C42</f>
        <v>8.4776663628076579E-2</v>
      </c>
      <c r="N42" s="199"/>
      <c r="U42" s="238"/>
      <c r="V42" s="242"/>
      <c r="Y42" s="219"/>
      <c r="Z42" s="219"/>
      <c r="AA42" s="219"/>
      <c r="AB42" s="219"/>
      <c r="AC42" s="219"/>
      <c r="AD42" s="242"/>
      <c r="AE42" s="242"/>
      <c r="AF42" s="238"/>
    </row>
    <row r="43" spans="2:32">
      <c r="B43" s="199" t="s">
        <v>358</v>
      </c>
      <c r="C43" s="216">
        <v>6406</v>
      </c>
      <c r="D43" s="216">
        <v>2819</v>
      </c>
      <c r="E43" s="216">
        <v>62</v>
      </c>
      <c r="F43" s="216">
        <f t="shared" ref="F43:F46" si="3">SUM(D43:E43)</f>
        <v>2881</v>
      </c>
      <c r="G43" s="220">
        <f t="shared" si="2"/>
        <v>0.81040787623066102</v>
      </c>
      <c r="H43" s="217">
        <f>F43/C43</f>
        <v>0.44973462379019669</v>
      </c>
      <c r="K43" s="220"/>
      <c r="L43" s="220"/>
      <c r="M43" s="220"/>
      <c r="N43" s="220"/>
      <c r="O43" s="220"/>
      <c r="V43" s="238"/>
      <c r="W43" s="221" t="s">
        <v>247</v>
      </c>
      <c r="X43" s="238"/>
      <c r="Y43" s="238"/>
      <c r="Z43" s="238"/>
      <c r="AA43" s="238"/>
      <c r="AB43" s="238"/>
      <c r="AC43" s="238"/>
      <c r="AD43" s="238"/>
    </row>
    <row r="44" spans="2:32">
      <c r="B44" s="199" t="s">
        <v>687</v>
      </c>
      <c r="C44" s="216">
        <v>99</v>
      </c>
      <c r="D44" s="216">
        <v>29</v>
      </c>
      <c r="E44" s="216">
        <v>1</v>
      </c>
      <c r="F44" s="216">
        <f t="shared" si="3"/>
        <v>30</v>
      </c>
      <c r="G44" s="220">
        <f t="shared" si="2"/>
        <v>8.4388185654008432E-3</v>
      </c>
      <c r="N44" s="199"/>
    </row>
    <row r="45" spans="2:32">
      <c r="B45" s="199" t="s">
        <v>688</v>
      </c>
      <c r="C45" s="216">
        <v>0</v>
      </c>
      <c r="D45" s="216">
        <v>0</v>
      </c>
      <c r="E45" s="216">
        <v>0</v>
      </c>
      <c r="F45" s="216">
        <f t="shared" si="3"/>
        <v>0</v>
      </c>
      <c r="G45" s="220">
        <f t="shared" si="2"/>
        <v>0</v>
      </c>
      <c r="J45" s="211"/>
      <c r="N45" s="199"/>
      <c r="X45" s="219"/>
    </row>
    <row r="46" spans="2:32">
      <c r="B46" s="199" t="s">
        <v>689</v>
      </c>
      <c r="C46" s="216">
        <v>433</v>
      </c>
      <c r="D46" s="216">
        <v>49</v>
      </c>
      <c r="E46" s="216">
        <v>37</v>
      </c>
      <c r="F46" s="216">
        <f t="shared" si="3"/>
        <v>86</v>
      </c>
      <c r="G46" s="220">
        <f t="shared" si="2"/>
        <v>2.419127988748242E-2</v>
      </c>
      <c r="H46" s="218"/>
      <c r="K46" s="218"/>
      <c r="L46" s="218"/>
      <c r="M46" s="218"/>
      <c r="N46" s="218"/>
      <c r="O46" s="218"/>
    </row>
    <row r="47" spans="2:32">
      <c r="B47" s="199" t="s">
        <v>160</v>
      </c>
      <c r="C47" s="216">
        <f>SUM(C42:C46)</f>
        <v>13520</v>
      </c>
      <c r="D47" s="216">
        <f t="shared" ref="D47:E47" si="4">SUM(D42:D46)</f>
        <v>3442</v>
      </c>
      <c r="E47" s="216">
        <f t="shared" si="4"/>
        <v>113</v>
      </c>
      <c r="F47" s="216">
        <f>SUM(D47:E47)</f>
        <v>3555</v>
      </c>
      <c r="G47" s="220">
        <f t="shared" si="2"/>
        <v>1</v>
      </c>
      <c r="N47" s="199"/>
    </row>
    <row r="48" spans="2:32">
      <c r="C48" s="216"/>
      <c r="D48" s="216"/>
      <c r="E48" s="216"/>
      <c r="F48" s="216"/>
      <c r="G48" s="220"/>
      <c r="N48" s="199"/>
    </row>
    <row r="49" spans="2:16">
      <c r="B49" s="214" t="s">
        <v>818</v>
      </c>
      <c r="G49" s="226"/>
      <c r="N49" s="199"/>
    </row>
    <row r="50" spans="2:16">
      <c r="B50" s="199" t="s">
        <v>695</v>
      </c>
      <c r="G50" s="226"/>
      <c r="N50" s="199"/>
    </row>
    <row r="51" spans="2:16" ht="14.25">
      <c r="B51" s="614" t="s">
        <v>816</v>
      </c>
      <c r="G51" s="226"/>
      <c r="N51" s="199"/>
    </row>
    <row r="52" spans="2:16" ht="60">
      <c r="C52" s="203" t="s">
        <v>815</v>
      </c>
      <c r="D52" s="203" t="s">
        <v>820</v>
      </c>
      <c r="E52" s="203" t="s">
        <v>821</v>
      </c>
      <c r="F52" s="203" t="s">
        <v>765</v>
      </c>
      <c r="G52" s="203" t="s">
        <v>819</v>
      </c>
      <c r="H52" s="203" t="s">
        <v>822</v>
      </c>
      <c r="N52" s="199"/>
    </row>
    <row r="53" spans="2:16">
      <c r="B53" s="199" t="s">
        <v>4</v>
      </c>
      <c r="C53" s="216">
        <v>2926</v>
      </c>
      <c r="D53" s="216">
        <v>104</v>
      </c>
      <c r="E53" s="611">
        <f>D53/C53</f>
        <v>3.5543403964456599E-2</v>
      </c>
      <c r="F53" s="216">
        <v>3845</v>
      </c>
      <c r="G53" s="216">
        <v>1709</v>
      </c>
      <c r="H53" s="220">
        <f>G53/F53</f>
        <v>0.4444733420026008</v>
      </c>
      <c r="N53" s="199"/>
    </row>
    <row r="54" spans="2:16">
      <c r="B54" s="199" t="s">
        <v>5</v>
      </c>
      <c r="C54" s="216">
        <v>1264</v>
      </c>
      <c r="D54" s="216">
        <v>218</v>
      </c>
      <c r="E54" s="611">
        <f t="shared" ref="E54:E56" si="5">D54/C54</f>
        <v>0.17246835443037975</v>
      </c>
      <c r="F54" s="216">
        <v>1636</v>
      </c>
      <c r="G54" s="216">
        <v>730</v>
      </c>
      <c r="H54" s="220">
        <f t="shared" ref="H54:H56" si="6">G54/F54</f>
        <v>0.44621026894865523</v>
      </c>
      <c r="N54" s="199"/>
    </row>
    <row r="55" spans="2:16">
      <c r="B55" s="199" t="s">
        <v>272</v>
      </c>
      <c r="C55" s="216">
        <v>2392</v>
      </c>
      <c r="D55" s="216">
        <v>236</v>
      </c>
      <c r="E55" s="611">
        <f t="shared" si="5"/>
        <v>9.8662207357859535E-2</v>
      </c>
      <c r="F55" s="216">
        <v>925</v>
      </c>
      <c r="G55" s="216">
        <v>431</v>
      </c>
      <c r="H55" s="220">
        <f t="shared" si="6"/>
        <v>0.46594594594594596</v>
      </c>
      <c r="N55" s="199"/>
    </row>
    <row r="56" spans="2:16">
      <c r="B56" s="199" t="s">
        <v>3</v>
      </c>
      <c r="C56" s="216">
        <f>SUM(C53:C55)</f>
        <v>6582</v>
      </c>
      <c r="D56" s="216">
        <f>SUM(D53:D55)</f>
        <v>558</v>
      </c>
      <c r="E56" s="611">
        <f t="shared" si="5"/>
        <v>8.4776663628076579E-2</v>
      </c>
      <c r="F56" s="216">
        <f>SUM(F53:F55)</f>
        <v>6406</v>
      </c>
      <c r="G56" s="216">
        <f>SUM(G53:G55)</f>
        <v>2870</v>
      </c>
      <c r="H56" s="220">
        <f t="shared" si="6"/>
        <v>0.44801748360911647</v>
      </c>
      <c r="N56" s="199"/>
    </row>
    <row r="57" spans="2:16">
      <c r="C57" s="216"/>
      <c r="D57" s="216"/>
      <c r="E57" s="216"/>
      <c r="F57" s="216"/>
      <c r="G57" s="220"/>
      <c r="N57" s="199"/>
    </row>
    <row r="58" spans="2:16">
      <c r="B58" s="593" t="s">
        <v>813</v>
      </c>
      <c r="C58" s="216"/>
      <c r="D58" s="216"/>
      <c r="E58" s="216"/>
      <c r="F58" s="216"/>
      <c r="G58" s="220"/>
      <c r="N58" s="199"/>
    </row>
    <row r="59" spans="2:16">
      <c r="B59" s="199" t="s">
        <v>695</v>
      </c>
      <c r="C59" s="594"/>
      <c r="D59" s="594"/>
      <c r="E59" s="594"/>
      <c r="F59" s="594"/>
      <c r="G59" s="594"/>
      <c r="H59" s="594"/>
      <c r="J59" s="593" t="s">
        <v>813</v>
      </c>
      <c r="N59" s="199"/>
    </row>
    <row r="60" spans="2:16" ht="36">
      <c r="B60" s="5" t="s">
        <v>761</v>
      </c>
      <c r="C60" s="595" t="s">
        <v>762</v>
      </c>
      <c r="D60" s="595" t="s">
        <v>763</v>
      </c>
      <c r="E60" s="595" t="s">
        <v>764</v>
      </c>
      <c r="F60" s="595" t="s">
        <v>765</v>
      </c>
      <c r="G60" s="595" t="s">
        <v>766</v>
      </c>
      <c r="H60" s="595" t="s">
        <v>767</v>
      </c>
      <c r="J60" s="5" t="s">
        <v>761</v>
      </c>
      <c r="K60" s="203" t="s">
        <v>699</v>
      </c>
      <c r="L60" s="203" t="s">
        <v>700</v>
      </c>
      <c r="M60" s="203" t="s">
        <v>697</v>
      </c>
      <c r="N60" s="203" t="s">
        <v>698</v>
      </c>
      <c r="O60" s="199" t="s">
        <v>10</v>
      </c>
      <c r="P60" s="199" t="s">
        <v>702</v>
      </c>
    </row>
    <row r="61" spans="2:16">
      <c r="B61" s="5" t="s">
        <v>768</v>
      </c>
      <c r="C61" s="5">
        <v>6</v>
      </c>
      <c r="D61" s="594">
        <v>6</v>
      </c>
      <c r="E61" s="596">
        <f>D61/C61</f>
        <v>1</v>
      </c>
      <c r="F61" s="5">
        <v>2</v>
      </c>
      <c r="G61" s="594">
        <v>2</v>
      </c>
      <c r="H61" s="596">
        <f>G61/F61</f>
        <v>1</v>
      </c>
      <c r="J61" s="199" t="s">
        <v>830</v>
      </c>
      <c r="K61" s="199">
        <v>711</v>
      </c>
      <c r="L61" s="199">
        <v>102</v>
      </c>
      <c r="M61" s="199">
        <v>179</v>
      </c>
      <c r="N61" s="199">
        <v>143</v>
      </c>
      <c r="O61" s="199">
        <f>SUM(G61:G67)-M61-K61</f>
        <v>169</v>
      </c>
      <c r="P61" s="199">
        <f>SUM(D61:D67)-N61-L61</f>
        <v>221</v>
      </c>
    </row>
    <row r="62" spans="2:16">
      <c r="B62" s="5" t="s">
        <v>769</v>
      </c>
      <c r="C62" s="5">
        <v>237</v>
      </c>
      <c r="D62" s="594">
        <v>217</v>
      </c>
      <c r="E62" s="596">
        <f t="shared" ref="E62:E75" si="7">D62/C62</f>
        <v>0.91561181434599159</v>
      </c>
      <c r="F62" s="5">
        <v>82</v>
      </c>
      <c r="G62" s="594">
        <v>78</v>
      </c>
      <c r="H62" s="596">
        <f t="shared" ref="H62:H75" si="8">G62/F62</f>
        <v>0.95121951219512191</v>
      </c>
      <c r="J62" s="199">
        <v>2024</v>
      </c>
      <c r="K62" s="199">
        <v>920</v>
      </c>
      <c r="L62" s="199">
        <v>1</v>
      </c>
      <c r="M62" s="199">
        <v>408</v>
      </c>
      <c r="N62" s="199">
        <v>74</v>
      </c>
      <c r="O62" s="199">
        <f>SUM(G68:G71)-M62-K62</f>
        <v>308</v>
      </c>
      <c r="P62" s="199">
        <f>SUM(D68:D71)-N62-L62</f>
        <v>13</v>
      </c>
    </row>
    <row r="63" spans="2:16">
      <c r="B63" s="5" t="s">
        <v>770</v>
      </c>
      <c r="C63" s="5">
        <v>313</v>
      </c>
      <c r="D63" s="594">
        <v>87</v>
      </c>
      <c r="E63" s="596">
        <f t="shared" si="7"/>
        <v>0.27795527156549521</v>
      </c>
      <c r="F63" s="5">
        <v>110</v>
      </c>
      <c r="G63" s="594">
        <v>86</v>
      </c>
      <c r="H63" s="596">
        <f t="shared" si="8"/>
        <v>0.78181818181818186</v>
      </c>
      <c r="J63" s="199">
        <v>2025</v>
      </c>
      <c r="K63" s="199">
        <v>78</v>
      </c>
      <c r="L63" s="199">
        <v>1</v>
      </c>
      <c r="M63" s="199">
        <v>109</v>
      </c>
      <c r="N63" s="199">
        <v>1</v>
      </c>
      <c r="O63" s="199">
        <v>0</v>
      </c>
      <c r="P63" s="199">
        <f>SUM(D72:D74)-N63-L63</f>
        <v>2</v>
      </c>
    </row>
    <row r="64" spans="2:16">
      <c r="B64" s="5" t="s">
        <v>771</v>
      </c>
      <c r="C64" s="5">
        <v>379</v>
      </c>
      <c r="D64" s="594">
        <v>51</v>
      </c>
      <c r="E64" s="596">
        <f t="shared" si="7"/>
        <v>0.13456464379947231</v>
      </c>
      <c r="F64" s="5">
        <v>114</v>
      </c>
      <c r="G64" s="594">
        <v>99</v>
      </c>
      <c r="H64" s="596">
        <f t="shared" si="8"/>
        <v>0.86842105263157898</v>
      </c>
      <c r="N64" s="199"/>
    </row>
    <row r="65" spans="2:14">
      <c r="B65" s="5" t="s">
        <v>772</v>
      </c>
      <c r="C65" s="5">
        <v>436</v>
      </c>
      <c r="D65" s="594">
        <v>36</v>
      </c>
      <c r="E65" s="596">
        <f t="shared" si="7"/>
        <v>8.2568807339449546E-2</v>
      </c>
      <c r="F65" s="5">
        <v>222</v>
      </c>
      <c r="G65" s="594">
        <v>182</v>
      </c>
      <c r="H65" s="596">
        <f t="shared" si="8"/>
        <v>0.81981981981981977</v>
      </c>
      <c r="N65" s="199"/>
    </row>
    <row r="66" spans="2:14">
      <c r="B66" s="5" t="s">
        <v>773</v>
      </c>
      <c r="C66" s="5">
        <v>546</v>
      </c>
      <c r="D66" s="594">
        <v>41</v>
      </c>
      <c r="E66" s="596">
        <f t="shared" si="7"/>
        <v>7.5091575091575088E-2</v>
      </c>
      <c r="F66" s="5">
        <v>374</v>
      </c>
      <c r="G66" s="594">
        <v>288</v>
      </c>
      <c r="H66" s="596">
        <f t="shared" si="8"/>
        <v>0.77005347593582885</v>
      </c>
      <c r="N66" s="199"/>
    </row>
    <row r="67" spans="2:14">
      <c r="B67" s="621" t="s">
        <v>774</v>
      </c>
      <c r="C67" s="621">
        <v>531</v>
      </c>
      <c r="D67" s="622">
        <v>28</v>
      </c>
      <c r="E67" s="623">
        <f t="shared" si="7"/>
        <v>5.2730696798493411E-2</v>
      </c>
      <c r="F67" s="621">
        <v>421</v>
      </c>
      <c r="G67" s="622">
        <v>324</v>
      </c>
      <c r="H67" s="623">
        <f t="shared" si="8"/>
        <v>0.76959619952494063</v>
      </c>
      <c r="N67" s="199"/>
    </row>
    <row r="68" spans="2:14">
      <c r="B68" s="5" t="s">
        <v>775</v>
      </c>
      <c r="C68" s="5">
        <v>997</v>
      </c>
      <c r="D68" s="594">
        <v>45</v>
      </c>
      <c r="E68" s="596">
        <f t="shared" si="7"/>
        <v>4.5135406218655971E-2</v>
      </c>
      <c r="F68" s="5">
        <v>970</v>
      </c>
      <c r="G68" s="594">
        <v>695</v>
      </c>
      <c r="H68" s="596">
        <f t="shared" si="8"/>
        <v>0.71649484536082475</v>
      </c>
      <c r="N68" s="199"/>
    </row>
    <row r="69" spans="2:14">
      <c r="B69" s="5" t="s">
        <v>776</v>
      </c>
      <c r="C69" s="5">
        <v>380</v>
      </c>
      <c r="D69" s="594">
        <v>9</v>
      </c>
      <c r="E69" s="596">
        <f t="shared" si="7"/>
        <v>2.368421052631579E-2</v>
      </c>
      <c r="F69" s="5">
        <v>346</v>
      </c>
      <c r="G69" s="594">
        <v>225</v>
      </c>
      <c r="H69" s="596">
        <f t="shared" si="8"/>
        <v>0.6502890173410405</v>
      </c>
      <c r="N69" s="199"/>
    </row>
    <row r="70" spans="2:14">
      <c r="B70" s="5" t="s">
        <v>777</v>
      </c>
      <c r="C70" s="5">
        <v>481</v>
      </c>
      <c r="D70" s="594">
        <v>15</v>
      </c>
      <c r="E70" s="596">
        <f t="shared" si="7"/>
        <v>3.1185031185031187E-2</v>
      </c>
      <c r="F70" s="5">
        <v>627</v>
      </c>
      <c r="G70" s="594">
        <v>341</v>
      </c>
      <c r="H70" s="596">
        <f t="shared" si="8"/>
        <v>0.54385964912280704</v>
      </c>
      <c r="N70" s="199"/>
    </row>
    <row r="71" spans="2:14">
      <c r="B71" s="621" t="s">
        <v>778</v>
      </c>
      <c r="C71" s="621">
        <v>648</v>
      </c>
      <c r="D71" s="622">
        <v>19</v>
      </c>
      <c r="E71" s="623">
        <f t="shared" si="7"/>
        <v>2.9320987654320986E-2</v>
      </c>
      <c r="F71" s="621">
        <v>740</v>
      </c>
      <c r="G71" s="622">
        <v>375</v>
      </c>
      <c r="H71" s="623">
        <f t="shared" si="8"/>
        <v>0.5067567567567568</v>
      </c>
      <c r="N71" s="199"/>
    </row>
    <row r="72" spans="2:14">
      <c r="B72" s="5" t="s">
        <v>779</v>
      </c>
      <c r="C72" s="5">
        <v>794</v>
      </c>
      <c r="D72" s="594">
        <v>4</v>
      </c>
      <c r="E72" s="596">
        <f t="shared" si="7"/>
        <v>5.0377833753148613E-3</v>
      </c>
      <c r="F72" s="5">
        <v>1041</v>
      </c>
      <c r="G72" s="594">
        <v>185</v>
      </c>
      <c r="H72" s="596">
        <f t="shared" si="8"/>
        <v>0.17771373679154659</v>
      </c>
      <c r="I72" s="199">
        <f>SUM(F61:F72)</f>
        <v>5049</v>
      </c>
      <c r="J72" s="199">
        <f>SUM(G61:G72)</f>
        <v>2880</v>
      </c>
      <c r="N72" s="199"/>
    </row>
    <row r="73" spans="2:14">
      <c r="B73" s="5" t="s">
        <v>817</v>
      </c>
      <c r="C73" s="5">
        <v>637</v>
      </c>
      <c r="D73" s="594">
        <v>0</v>
      </c>
      <c r="E73" s="596">
        <f t="shared" si="7"/>
        <v>0</v>
      </c>
      <c r="F73" s="5">
        <v>1034</v>
      </c>
      <c r="G73" s="594">
        <v>1</v>
      </c>
      <c r="H73" s="596">
        <f t="shared" si="8"/>
        <v>9.6711798839458415E-4</v>
      </c>
      <c r="J73" s="199">
        <f>J72/I72</f>
        <v>0.57040998217468808</v>
      </c>
      <c r="N73" s="199"/>
    </row>
    <row r="74" spans="2:14">
      <c r="B74" s="39">
        <v>45839</v>
      </c>
      <c r="C74" s="5">
        <v>197</v>
      </c>
      <c r="D74" s="594">
        <v>0</v>
      </c>
      <c r="E74" s="596">
        <f t="shared" si="7"/>
        <v>0</v>
      </c>
      <c r="F74" s="5">
        <v>323</v>
      </c>
      <c r="G74" s="594"/>
      <c r="H74" s="596">
        <f t="shared" si="8"/>
        <v>0</v>
      </c>
      <c r="N74" s="199"/>
    </row>
    <row r="75" spans="2:14">
      <c r="B75" s="5" t="s">
        <v>3</v>
      </c>
      <c r="C75" s="594">
        <f>SUM(C61:C74)</f>
        <v>6582</v>
      </c>
      <c r="D75" s="594">
        <f>SUM(D61:D74)</f>
        <v>558</v>
      </c>
      <c r="E75" s="596">
        <f t="shared" si="7"/>
        <v>8.4776663628076579E-2</v>
      </c>
      <c r="F75" s="594">
        <f>SUM(F61:F74)</f>
        <v>6406</v>
      </c>
      <c r="G75" s="594">
        <f>SUM(G61:G74)</f>
        <v>2881</v>
      </c>
      <c r="H75" s="596">
        <f t="shared" si="8"/>
        <v>0.44973462379019669</v>
      </c>
      <c r="N75" s="199"/>
    </row>
    <row r="76" spans="2:14">
      <c r="B76" s="5"/>
      <c r="C76" s="594"/>
      <c r="D76" s="594"/>
      <c r="E76" s="596"/>
      <c r="F76" s="594"/>
      <c r="G76" s="596">
        <f>G75/(D75+G75)</f>
        <v>0.83774353009595814</v>
      </c>
      <c r="H76" s="596"/>
      <c r="N76" s="199"/>
    </row>
    <row r="77" spans="2:14">
      <c r="B77" s="5"/>
      <c r="C77" s="594"/>
      <c r="D77" s="594"/>
      <c r="E77" s="596"/>
      <c r="F77" s="594"/>
      <c r="G77" s="594"/>
      <c r="H77" s="596"/>
      <c r="N77" s="199"/>
    </row>
    <row r="78" spans="2:14">
      <c r="B78" s="211" t="s">
        <v>1043</v>
      </c>
      <c r="C78" s="5"/>
      <c r="D78" s="5"/>
      <c r="E78" s="596"/>
      <c r="F78" s="594"/>
      <c r="G78" s="594"/>
      <c r="H78" s="596"/>
      <c r="N78" s="199"/>
    </row>
    <row r="79" spans="2:14" ht="48">
      <c r="B79" s="203" t="s">
        <v>1044</v>
      </c>
      <c r="C79" s="5" t="s">
        <v>1045</v>
      </c>
      <c r="D79" s="5"/>
      <c r="E79" s="596"/>
      <c r="F79" s="594"/>
      <c r="G79" s="594"/>
      <c r="H79" s="596"/>
      <c r="N79" s="199"/>
    </row>
    <row r="80" spans="2:14">
      <c r="B80" s="203"/>
      <c r="C80" s="211" t="s">
        <v>1046</v>
      </c>
      <c r="E80" s="211" t="s">
        <v>1047</v>
      </c>
      <c r="F80" s="594"/>
      <c r="G80" s="594" t="s">
        <v>1055</v>
      </c>
      <c r="H80" s="596"/>
      <c r="N80" s="199"/>
    </row>
    <row r="81" spans="1:16">
      <c r="B81" s="796" t="s">
        <v>1048</v>
      </c>
      <c r="C81" s="32">
        <v>2212</v>
      </c>
      <c r="D81" s="596">
        <f>C81/$C$88</f>
        <v>0.62751773049645387</v>
      </c>
      <c r="E81" s="32">
        <v>1624</v>
      </c>
      <c r="F81" s="596">
        <f>E81/$E$88</f>
        <v>0.26958831341301459</v>
      </c>
      <c r="G81" s="32">
        <f>C81+E81</f>
        <v>3836</v>
      </c>
      <c r="H81" s="596">
        <f>G81/$G$88</f>
        <v>0.40171745732537439</v>
      </c>
      <c r="N81" s="199"/>
    </row>
    <row r="82" spans="1:16">
      <c r="B82" s="796" t="s">
        <v>1049</v>
      </c>
      <c r="C82" s="32">
        <v>651</v>
      </c>
      <c r="D82" s="596">
        <f t="shared" ref="D82:D88" si="9">C82/$C$88</f>
        <v>0.18468085106382978</v>
      </c>
      <c r="E82" s="32">
        <v>1095</v>
      </c>
      <c r="F82" s="596">
        <f t="shared" ref="F82:F88" si="10">E82/$E$88</f>
        <v>0.18177290836653387</v>
      </c>
      <c r="G82" s="32">
        <f t="shared" ref="G82:G88" si="11">C82+E82</f>
        <v>1746</v>
      </c>
      <c r="H82" s="596">
        <f t="shared" ref="H82:H88" si="12">G82/$G$88</f>
        <v>0.18284637134778511</v>
      </c>
      <c r="N82" s="199"/>
    </row>
    <row r="83" spans="1:16">
      <c r="B83" s="796" t="s">
        <v>1050</v>
      </c>
      <c r="C83" s="32">
        <v>396</v>
      </c>
      <c r="D83" s="596">
        <f t="shared" si="9"/>
        <v>0.11234042553191489</v>
      </c>
      <c r="E83" s="32">
        <v>1323</v>
      </c>
      <c r="F83" s="596">
        <f t="shared" si="10"/>
        <v>0.21962151394422311</v>
      </c>
      <c r="G83" s="32">
        <f t="shared" si="11"/>
        <v>1719</v>
      </c>
      <c r="H83" s="596">
        <f t="shared" si="12"/>
        <v>0.18001885014137606</v>
      </c>
      <c r="N83" s="199"/>
    </row>
    <row r="84" spans="1:16">
      <c r="B84" s="796" t="s">
        <v>1051</v>
      </c>
      <c r="C84" s="32">
        <v>183</v>
      </c>
      <c r="D84" s="596">
        <f t="shared" si="9"/>
        <v>5.1914893617021278E-2</v>
      </c>
      <c r="E84" s="32">
        <v>1008</v>
      </c>
      <c r="F84" s="596">
        <f t="shared" si="10"/>
        <v>0.16733067729083664</v>
      </c>
      <c r="G84" s="32">
        <f t="shared" si="11"/>
        <v>1191</v>
      </c>
      <c r="H84" s="596">
        <f t="shared" si="12"/>
        <v>0.12472510210493246</v>
      </c>
      <c r="N84" s="199"/>
    </row>
    <row r="85" spans="1:16">
      <c r="B85" s="796" t="s">
        <v>1052</v>
      </c>
      <c r="C85" s="32">
        <v>55</v>
      </c>
      <c r="D85" s="596">
        <f t="shared" si="9"/>
        <v>1.5602836879432624E-2</v>
      </c>
      <c r="E85" s="32">
        <v>728</v>
      </c>
      <c r="F85" s="596">
        <f t="shared" si="10"/>
        <v>0.12084993359893759</v>
      </c>
      <c r="G85" s="32">
        <f t="shared" si="11"/>
        <v>783</v>
      </c>
      <c r="H85" s="596">
        <f t="shared" si="12"/>
        <v>8.1998114985862389E-2</v>
      </c>
      <c r="N85" s="199"/>
    </row>
    <row r="86" spans="1:16">
      <c r="B86" s="796" t="s">
        <v>1053</v>
      </c>
      <c r="C86" s="32">
        <v>28</v>
      </c>
      <c r="D86" s="596">
        <f t="shared" si="9"/>
        <v>7.9432624113475181E-3</v>
      </c>
      <c r="E86" s="32">
        <v>246</v>
      </c>
      <c r="F86" s="596">
        <f t="shared" si="10"/>
        <v>4.0836653386454182E-2</v>
      </c>
      <c r="G86" s="32">
        <f t="shared" si="11"/>
        <v>274</v>
      </c>
      <c r="H86" s="596">
        <f t="shared" si="12"/>
        <v>2.86941040946696E-2</v>
      </c>
      <c r="N86" s="199"/>
    </row>
    <row r="87" spans="1:16">
      <c r="B87" s="796" t="s">
        <v>1054</v>
      </c>
      <c r="C87" s="32">
        <v>0</v>
      </c>
      <c r="D87" s="596">
        <f t="shared" si="9"/>
        <v>0</v>
      </c>
      <c r="E87" s="32">
        <v>0</v>
      </c>
      <c r="F87" s="596">
        <f t="shared" si="10"/>
        <v>0</v>
      </c>
      <c r="G87" s="32">
        <f t="shared" si="11"/>
        <v>0</v>
      </c>
      <c r="H87" s="596">
        <f t="shared" si="12"/>
        <v>0</v>
      </c>
      <c r="N87" s="199"/>
    </row>
    <row r="88" spans="1:16">
      <c r="B88" s="5"/>
      <c r="C88" s="32">
        <f>SUM(C81:C87)</f>
        <v>3525</v>
      </c>
      <c r="D88" s="596">
        <f t="shared" si="9"/>
        <v>1</v>
      </c>
      <c r="E88" s="32">
        <f>SUM(E81:E87)</f>
        <v>6024</v>
      </c>
      <c r="F88" s="596">
        <f t="shared" si="10"/>
        <v>1</v>
      </c>
      <c r="G88" s="32">
        <f t="shared" si="11"/>
        <v>9549</v>
      </c>
      <c r="H88" s="596">
        <f t="shared" si="12"/>
        <v>1</v>
      </c>
      <c r="N88" s="199"/>
    </row>
    <row r="89" spans="1:16">
      <c r="B89" s="199" t="s">
        <v>1072</v>
      </c>
      <c r="C89" s="32"/>
      <c r="D89" s="596"/>
      <c r="E89" s="32"/>
      <c r="F89" s="596"/>
      <c r="G89" s="32"/>
      <c r="H89" s="596"/>
      <c r="N89" s="199"/>
    </row>
    <row r="90" spans="1:16">
      <c r="B90" s="5" t="s">
        <v>816</v>
      </c>
      <c r="C90" s="32"/>
      <c r="D90" s="596"/>
      <c r="E90" s="32"/>
      <c r="F90" s="596"/>
      <c r="G90" s="32"/>
      <c r="H90" s="596"/>
      <c r="N90" s="199"/>
    </row>
    <row r="91" spans="1:16">
      <c r="B91" s="5"/>
      <c r="C91" s="594"/>
      <c r="D91" s="594"/>
      <c r="E91" s="596"/>
      <c r="F91" s="594"/>
      <c r="G91" s="594"/>
      <c r="H91" s="596"/>
      <c r="N91" s="199"/>
    </row>
    <row r="92" spans="1:16">
      <c r="A92" s="199" t="s">
        <v>36</v>
      </c>
      <c r="B92" s="243" t="s">
        <v>741</v>
      </c>
      <c r="C92" s="244"/>
      <c r="D92" s="244"/>
      <c r="E92" s="244"/>
      <c r="F92" s="244"/>
      <c r="G92" s="103"/>
      <c r="H92" s="103"/>
      <c r="I92" s="103"/>
      <c r="J92" s="103"/>
      <c r="K92" s="225"/>
      <c r="L92" s="224"/>
    </row>
    <row r="93" spans="1:16">
      <c r="B93" s="222" t="s">
        <v>150</v>
      </c>
      <c r="C93" s="103"/>
      <c r="D93" s="103"/>
      <c r="E93" s="103"/>
      <c r="F93" s="103"/>
      <c r="G93" s="103"/>
      <c r="H93" s="103"/>
      <c r="I93" s="103"/>
      <c r="J93" s="103"/>
      <c r="K93" s="223"/>
      <c r="L93" s="224"/>
      <c r="M93" s="225"/>
    </row>
    <row r="94" spans="1:16">
      <c r="B94" s="236" t="s">
        <v>151</v>
      </c>
      <c r="C94" s="103"/>
      <c r="D94" s="103"/>
      <c r="E94" s="103"/>
      <c r="F94" s="103"/>
      <c r="G94" s="103"/>
      <c r="H94" s="103"/>
      <c r="I94" s="103"/>
      <c r="J94" s="103"/>
      <c r="K94" s="225"/>
      <c r="L94" s="224"/>
      <c r="M94" s="225"/>
      <c r="N94" s="103"/>
    </row>
    <row r="95" spans="1:16">
      <c r="B95" s="222" t="s">
        <v>168</v>
      </c>
      <c r="C95" s="103"/>
      <c r="D95" s="103"/>
      <c r="E95" s="103"/>
      <c r="F95" s="103"/>
      <c r="G95" s="103"/>
      <c r="H95" s="103"/>
      <c r="K95" s="103"/>
      <c r="L95" s="103"/>
      <c r="M95" s="528"/>
      <c r="N95" s="103"/>
      <c r="O95" s="529"/>
      <c r="P95" s="224"/>
    </row>
    <row r="96" spans="1:16">
      <c r="B96" s="227"/>
      <c r="C96" s="228">
        <v>45566</v>
      </c>
      <c r="D96" s="228">
        <v>45597</v>
      </c>
      <c r="E96" s="228">
        <v>45627</v>
      </c>
      <c r="F96" s="228">
        <v>45658</v>
      </c>
      <c r="G96" s="228">
        <v>45689</v>
      </c>
      <c r="H96" s="228">
        <v>45717</v>
      </c>
      <c r="I96" s="228">
        <v>45748</v>
      </c>
      <c r="J96" s="228">
        <v>45778</v>
      </c>
      <c r="K96" s="228">
        <v>45809</v>
      </c>
      <c r="L96" s="228">
        <v>45839</v>
      </c>
      <c r="M96" s="228">
        <v>45870</v>
      </c>
      <c r="N96" s="228">
        <v>45901</v>
      </c>
      <c r="O96" s="199" t="s">
        <v>3</v>
      </c>
      <c r="P96" s="225"/>
    </row>
    <row r="97" spans="1:16">
      <c r="B97" s="227" t="s">
        <v>246</v>
      </c>
      <c r="C97" s="229">
        <v>3</v>
      </c>
      <c r="D97" s="229"/>
      <c r="E97" s="229">
        <v>21</v>
      </c>
      <c r="F97" s="229">
        <v>24</v>
      </c>
      <c r="G97" s="229">
        <v>42</v>
      </c>
      <c r="H97" s="229">
        <v>37</v>
      </c>
      <c r="I97" s="229">
        <v>9</v>
      </c>
      <c r="J97" s="229">
        <v>15</v>
      </c>
      <c r="K97" s="229">
        <v>30</v>
      </c>
      <c r="L97" s="103">
        <v>20</v>
      </c>
      <c r="M97" s="526">
        <v>1</v>
      </c>
      <c r="N97" s="527">
        <v>2</v>
      </c>
      <c r="O97" s="249">
        <f>SUM(C97:N97)</f>
        <v>204</v>
      </c>
      <c r="P97" s="230"/>
    </row>
    <row r="98" spans="1:16">
      <c r="B98" s="227" t="s">
        <v>196</v>
      </c>
      <c r="C98" s="229">
        <v>2</v>
      </c>
      <c r="D98" s="229">
        <v>4</v>
      </c>
      <c r="E98" s="229">
        <v>15</v>
      </c>
      <c r="F98" s="229">
        <v>20</v>
      </c>
      <c r="G98" s="229">
        <v>51</v>
      </c>
      <c r="H98" s="229">
        <v>195</v>
      </c>
      <c r="I98" s="229">
        <v>53</v>
      </c>
      <c r="J98" s="229">
        <v>56</v>
      </c>
      <c r="K98" s="229">
        <v>20</v>
      </c>
      <c r="L98" s="103">
        <v>159</v>
      </c>
      <c r="M98" s="526">
        <v>91</v>
      </c>
      <c r="N98" s="527">
        <v>28</v>
      </c>
      <c r="O98" s="249">
        <f t="shared" ref="O98:O102" si="13">SUM(C98:N98)</f>
        <v>694</v>
      </c>
      <c r="P98" s="230"/>
    </row>
    <row r="99" spans="1:16">
      <c r="B99" s="227" t="s">
        <v>172</v>
      </c>
      <c r="C99" s="229"/>
      <c r="D99" s="229"/>
      <c r="E99" s="229"/>
      <c r="F99" s="229"/>
      <c r="G99" s="229"/>
      <c r="H99" s="229"/>
      <c r="I99" s="229"/>
      <c r="J99" s="229"/>
      <c r="K99" s="229"/>
      <c r="L99" s="103"/>
      <c r="M99" s="526"/>
      <c r="N99" s="527">
        <v>3</v>
      </c>
      <c r="O99" s="249">
        <f t="shared" si="13"/>
        <v>3</v>
      </c>
      <c r="P99" s="230"/>
    </row>
    <row r="100" spans="1:16">
      <c r="B100" s="227" t="s">
        <v>169</v>
      </c>
      <c r="C100" s="229">
        <v>1</v>
      </c>
      <c r="D100" s="229">
        <v>1</v>
      </c>
      <c r="E100" s="229">
        <v>10</v>
      </c>
      <c r="F100" s="229">
        <v>13</v>
      </c>
      <c r="G100" s="229">
        <v>38</v>
      </c>
      <c r="H100" s="229">
        <v>10</v>
      </c>
      <c r="I100" s="229"/>
      <c r="J100" s="229">
        <v>1</v>
      </c>
      <c r="K100" s="229">
        <v>5</v>
      </c>
      <c r="L100" s="103">
        <v>11</v>
      </c>
      <c r="M100" s="526">
        <v>1</v>
      </c>
      <c r="N100" s="527">
        <v>4</v>
      </c>
      <c r="O100" s="249">
        <f t="shared" si="13"/>
        <v>95</v>
      </c>
      <c r="P100" s="103"/>
    </row>
    <row r="101" spans="1:16">
      <c r="B101" s="227" t="s">
        <v>982</v>
      </c>
      <c r="C101" s="229">
        <v>1883</v>
      </c>
      <c r="D101" s="229">
        <v>1535</v>
      </c>
      <c r="E101" s="229">
        <v>1112</v>
      </c>
      <c r="F101" s="229">
        <v>832</v>
      </c>
      <c r="G101" s="229">
        <v>735</v>
      </c>
      <c r="H101" s="229">
        <v>1372</v>
      </c>
      <c r="I101" s="229">
        <v>478</v>
      </c>
      <c r="J101" s="229">
        <v>380</v>
      </c>
      <c r="K101" s="229">
        <v>325</v>
      </c>
      <c r="L101" s="103">
        <v>328</v>
      </c>
      <c r="M101" s="526">
        <v>419</v>
      </c>
      <c r="N101" s="527">
        <v>335</v>
      </c>
      <c r="O101" s="249">
        <f t="shared" si="13"/>
        <v>9734</v>
      </c>
      <c r="P101" s="230"/>
    </row>
    <row r="102" spans="1:16">
      <c r="B102" s="103"/>
      <c r="C102" s="229">
        <f>SUM(C97:C101)</f>
        <v>1889</v>
      </c>
      <c r="D102" s="229">
        <f t="shared" ref="D102:J102" si="14">SUM(D97:D101)</f>
        <v>1540</v>
      </c>
      <c r="E102" s="229">
        <f t="shared" si="14"/>
        <v>1158</v>
      </c>
      <c r="F102" s="229">
        <f t="shared" si="14"/>
        <v>889</v>
      </c>
      <c r="G102" s="229">
        <f t="shared" si="14"/>
        <v>866</v>
      </c>
      <c r="H102" s="229">
        <f t="shared" si="14"/>
        <v>1614</v>
      </c>
      <c r="I102" s="229">
        <f t="shared" si="14"/>
        <v>540</v>
      </c>
      <c r="J102" s="229">
        <f t="shared" si="14"/>
        <v>452</v>
      </c>
      <c r="K102" s="229">
        <f>SUM(K97:K101)</f>
        <v>380</v>
      </c>
      <c r="L102" s="229">
        <f t="shared" ref="L102:M102" si="15">SUM(L97:L101)</f>
        <v>518</v>
      </c>
      <c r="M102" s="229">
        <f t="shared" si="15"/>
        <v>512</v>
      </c>
      <c r="N102" s="230"/>
      <c r="O102" s="249">
        <f t="shared" si="13"/>
        <v>10358</v>
      </c>
      <c r="P102" s="232"/>
    </row>
    <row r="103" spans="1:16">
      <c r="B103" s="227"/>
      <c r="C103" s="103"/>
      <c r="D103" s="103"/>
      <c r="E103" s="103"/>
      <c r="F103" s="103"/>
      <c r="G103" s="103"/>
      <c r="H103" s="103"/>
      <c r="I103" s="103"/>
      <c r="J103" s="103"/>
      <c r="K103" s="225"/>
      <c r="M103" s="526"/>
      <c r="N103" s="526"/>
      <c r="O103" s="224"/>
    </row>
    <row r="104" spans="1:16">
      <c r="C104" s="233" t="s">
        <v>3</v>
      </c>
      <c r="D104" s="233" t="s">
        <v>4</v>
      </c>
      <c r="E104" s="233" t="s">
        <v>5</v>
      </c>
      <c r="F104" s="233" t="s">
        <v>6</v>
      </c>
      <c r="G104" s="103" t="s">
        <v>152</v>
      </c>
      <c r="H104" s="103"/>
      <c r="I104" s="624"/>
      <c r="J104" s="740" t="s">
        <v>988</v>
      </c>
      <c r="K104" s="740"/>
      <c r="L104" s="741"/>
      <c r="M104" s="103"/>
      <c r="N104" s="103"/>
    </row>
    <row r="105" spans="1:16">
      <c r="B105" s="227" t="s">
        <v>2</v>
      </c>
      <c r="C105" s="229">
        <f>O97</f>
        <v>204</v>
      </c>
      <c r="D105" s="229">
        <v>53</v>
      </c>
      <c r="E105" s="229">
        <v>32</v>
      </c>
      <c r="F105" s="229">
        <f>C105-D105-E105</f>
        <v>119</v>
      </c>
      <c r="G105" s="103" t="s">
        <v>156</v>
      </c>
      <c r="I105" s="624"/>
      <c r="J105" s="741" t="s">
        <v>280</v>
      </c>
      <c r="K105" s="741" t="s">
        <v>325</v>
      </c>
      <c r="L105" s="741" t="s">
        <v>3</v>
      </c>
      <c r="M105" s="103"/>
      <c r="N105" s="103"/>
    </row>
    <row r="106" spans="1:16">
      <c r="B106" s="227" t="s">
        <v>1</v>
      </c>
      <c r="C106" s="229">
        <f>O98</f>
        <v>694</v>
      </c>
      <c r="D106" s="229">
        <v>513</v>
      </c>
      <c r="E106" s="229">
        <v>93</v>
      </c>
      <c r="F106" s="229">
        <f t="shared" ref="F106:F108" si="16">C106-D106-E106</f>
        <v>88</v>
      </c>
      <c r="G106" s="103" t="s">
        <v>155</v>
      </c>
      <c r="I106" s="624" t="s">
        <v>4</v>
      </c>
      <c r="J106" s="742">
        <f>D108</f>
        <v>4223</v>
      </c>
      <c r="K106" s="743">
        <v>200</v>
      </c>
      <c r="L106" s="744">
        <f>SUM(J106:K106)</f>
        <v>4423</v>
      </c>
      <c r="M106" s="103"/>
      <c r="N106" s="103"/>
    </row>
    <row r="107" spans="1:16">
      <c r="B107" s="227" t="s">
        <v>169</v>
      </c>
      <c r="C107" s="229">
        <f>O100</f>
        <v>95</v>
      </c>
      <c r="D107" s="229"/>
      <c r="E107" s="229"/>
      <c r="F107" s="229">
        <f t="shared" si="16"/>
        <v>95</v>
      </c>
      <c r="G107" s="103" t="s">
        <v>154</v>
      </c>
      <c r="H107" s="103"/>
      <c r="I107" s="624" t="s">
        <v>5</v>
      </c>
      <c r="J107" s="744">
        <f>E108</f>
        <v>738</v>
      </c>
      <c r="K107" s="741">
        <v>300</v>
      </c>
      <c r="L107" s="744">
        <f t="shared" ref="L107:L109" si="17">SUM(J107:K107)</f>
        <v>1038</v>
      </c>
      <c r="M107" s="103"/>
      <c r="N107" s="103"/>
    </row>
    <row r="108" spans="1:16">
      <c r="B108" s="227" t="s">
        <v>170</v>
      </c>
      <c r="C108" s="229">
        <f>O101</f>
        <v>9734</v>
      </c>
      <c r="D108" s="229">
        <v>4223</v>
      </c>
      <c r="E108" s="229">
        <v>738</v>
      </c>
      <c r="F108" s="229">
        <f t="shared" si="16"/>
        <v>4773</v>
      </c>
      <c r="G108" s="227" t="s">
        <v>153</v>
      </c>
      <c r="H108" s="103"/>
      <c r="I108" s="624" t="s">
        <v>6</v>
      </c>
      <c r="J108" s="744">
        <f>F108</f>
        <v>4773</v>
      </c>
      <c r="K108" s="741">
        <v>400</v>
      </c>
      <c r="L108" s="744">
        <f t="shared" si="17"/>
        <v>5173</v>
      </c>
      <c r="M108" s="103"/>
      <c r="N108" s="103"/>
    </row>
    <row r="109" spans="1:16">
      <c r="B109" s="234" t="s">
        <v>172</v>
      </c>
      <c r="C109" s="229">
        <f>O99</f>
        <v>3</v>
      </c>
      <c r="D109" s="229"/>
      <c r="E109" s="229">
        <v>3</v>
      </c>
      <c r="F109" s="229"/>
      <c r="G109" s="103" t="s">
        <v>157</v>
      </c>
      <c r="H109" s="103"/>
      <c r="I109" s="624" t="s">
        <v>3</v>
      </c>
      <c r="J109" s="742">
        <f>SUM(J106:J108)</f>
        <v>9734</v>
      </c>
      <c r="K109" s="742">
        <f>SUM(K106:K108)</f>
        <v>900</v>
      </c>
      <c r="L109" s="744">
        <f t="shared" si="17"/>
        <v>10634</v>
      </c>
      <c r="M109" s="103"/>
      <c r="N109" s="103"/>
    </row>
    <row r="110" spans="1:16">
      <c r="B110" s="235" t="s">
        <v>158</v>
      </c>
      <c r="C110" s="229">
        <f>SUM(C105:C109)</f>
        <v>10730</v>
      </c>
      <c r="D110" s="229">
        <f>SUM(D105:D109)</f>
        <v>4789</v>
      </c>
      <c r="E110" s="229">
        <f>SUM(E105:E109)</f>
        <v>866</v>
      </c>
      <c r="F110" s="229">
        <f>SUM(F105:F109)</f>
        <v>5075</v>
      </c>
      <c r="G110" s="103"/>
      <c r="H110" s="103"/>
      <c r="I110" s="103"/>
      <c r="J110" s="229"/>
      <c r="K110" s="229"/>
      <c r="L110" s="103"/>
      <c r="M110" s="103"/>
      <c r="N110" s="103"/>
    </row>
    <row r="111" spans="1:16" ht="14.25">
      <c r="M111"/>
    </row>
    <row r="112" spans="1:16">
      <c r="A112" s="199" t="s">
        <v>36</v>
      </c>
      <c r="B112" s="211" t="s">
        <v>742</v>
      </c>
    </row>
    <row r="114" spans="2:11">
      <c r="B114" s="211" t="s">
        <v>743</v>
      </c>
      <c r="E114" s="199">
        <f>E120+E128</f>
        <v>423</v>
      </c>
    </row>
    <row r="115" spans="2:11" ht="24">
      <c r="C115" s="576" t="s">
        <v>749</v>
      </c>
      <c r="D115" s="576" t="s">
        <v>748</v>
      </c>
      <c r="E115" s="211" t="s">
        <v>255</v>
      </c>
      <c r="F115" s="211" t="s">
        <v>231</v>
      </c>
      <c r="G115" s="211"/>
      <c r="H115" s="211" t="s">
        <v>1033</v>
      </c>
      <c r="J115" s="624" t="s">
        <v>682</v>
      </c>
      <c r="K115" s="624" t="s">
        <v>683</v>
      </c>
    </row>
    <row r="116" spans="2:11">
      <c r="D116" s="576"/>
      <c r="E116" s="245"/>
      <c r="F116" s="246" t="s">
        <v>1034</v>
      </c>
      <c r="G116" s="245" t="s">
        <v>678</v>
      </c>
      <c r="I116" s="785" t="s">
        <v>1032</v>
      </c>
      <c r="J116" s="624"/>
      <c r="K116" s="624"/>
    </row>
    <row r="117" spans="2:11">
      <c r="B117" s="199" t="s">
        <v>4</v>
      </c>
      <c r="C117" s="226">
        <v>0</v>
      </c>
      <c r="D117" s="226">
        <v>0</v>
      </c>
      <c r="E117" s="226">
        <v>201</v>
      </c>
      <c r="F117" s="786">
        <f>D106</f>
        <v>513</v>
      </c>
      <c r="G117" s="226">
        <v>467</v>
      </c>
      <c r="I117" s="199">
        <v>97</v>
      </c>
      <c r="J117" s="625">
        <f>ROUNDUP(F117+G117,-1)</f>
        <v>980</v>
      </c>
      <c r="K117" s="626">
        <f>D117+E117+J117</f>
        <v>1181</v>
      </c>
    </row>
    <row r="118" spans="2:11">
      <c r="B118" s="199" t="s">
        <v>5</v>
      </c>
      <c r="C118" s="226">
        <v>0</v>
      </c>
      <c r="D118" s="226">
        <v>0</v>
      </c>
      <c r="E118" s="226">
        <v>93</v>
      </c>
      <c r="F118" s="786">
        <f>E106</f>
        <v>93</v>
      </c>
      <c r="G118" s="226">
        <v>643</v>
      </c>
      <c r="I118" s="199">
        <v>404</v>
      </c>
      <c r="J118" s="625">
        <f>ROUNDUP(F118+G118,-1)</f>
        <v>740</v>
      </c>
      <c r="K118" s="626">
        <f>D118+E118+J118</f>
        <v>833</v>
      </c>
    </row>
    <row r="119" spans="2:11">
      <c r="B119" s="199" t="s">
        <v>6</v>
      </c>
      <c r="C119" s="226">
        <v>0</v>
      </c>
      <c r="D119" s="226">
        <v>0</v>
      </c>
      <c r="E119" s="226">
        <v>38</v>
      </c>
      <c r="F119" s="786">
        <f>F106</f>
        <v>88</v>
      </c>
      <c r="G119" s="226">
        <v>120</v>
      </c>
      <c r="I119" s="199">
        <v>43</v>
      </c>
      <c r="J119" s="625">
        <f>ROUNDUP(F119+G119,-1)</f>
        <v>210</v>
      </c>
      <c r="K119" s="626">
        <f>D119+E119+J119</f>
        <v>248</v>
      </c>
    </row>
    <row r="120" spans="2:11">
      <c r="B120" s="199" t="s">
        <v>3</v>
      </c>
      <c r="C120" s="226">
        <f t="shared" ref="C120:G120" si="18">SUM(C117:C119)</f>
        <v>0</v>
      </c>
      <c r="D120" s="226">
        <f t="shared" si="18"/>
        <v>0</v>
      </c>
      <c r="E120" s="226">
        <f t="shared" si="18"/>
        <v>332</v>
      </c>
      <c r="F120" s="786">
        <f>SUM(F117:F119)</f>
        <v>694</v>
      </c>
      <c r="G120" s="226">
        <f t="shared" si="18"/>
        <v>1230</v>
      </c>
      <c r="I120" s="199">
        <f>SUM(I117:I119)</f>
        <v>544</v>
      </c>
      <c r="J120" s="625">
        <f>SUM(J117:J119)</f>
        <v>1930</v>
      </c>
      <c r="K120" s="625">
        <f>SUM(K117:K119)</f>
        <v>2262</v>
      </c>
    </row>
    <row r="121" spans="2:11">
      <c r="D121" s="226"/>
      <c r="E121" s="226"/>
      <c r="F121" s="226"/>
      <c r="G121" s="786">
        <f>F120+G120</f>
        <v>1924</v>
      </c>
      <c r="J121" s="624"/>
      <c r="K121" s="624"/>
    </row>
    <row r="122" spans="2:11">
      <c r="B122" s="211" t="s">
        <v>744</v>
      </c>
      <c r="J122" s="624"/>
      <c r="K122" s="624"/>
    </row>
    <row r="123" spans="2:11" ht="12" customHeight="1">
      <c r="C123" s="576" t="s">
        <v>749</v>
      </c>
      <c r="D123" s="576" t="s">
        <v>230</v>
      </c>
      <c r="E123" s="211" t="s">
        <v>255</v>
      </c>
      <c r="F123" s="211" t="s">
        <v>231</v>
      </c>
      <c r="G123" s="211"/>
      <c r="H123" s="211" t="s">
        <v>1033</v>
      </c>
      <c r="J123" s="624" t="s">
        <v>682</v>
      </c>
      <c r="K123" s="624" t="s">
        <v>683</v>
      </c>
    </row>
    <row r="124" spans="2:11">
      <c r="D124" s="576"/>
      <c r="E124" s="245"/>
      <c r="F124" s="246" t="s">
        <v>1034</v>
      </c>
      <c r="G124" s="245" t="s">
        <v>678</v>
      </c>
      <c r="I124" s="785" t="s">
        <v>1032</v>
      </c>
      <c r="J124" s="624"/>
      <c r="K124" s="624"/>
    </row>
    <row r="125" spans="2:11">
      <c r="B125" s="199" t="s">
        <v>4</v>
      </c>
      <c r="C125" s="226">
        <v>0</v>
      </c>
      <c r="D125" s="226">
        <v>0</v>
      </c>
      <c r="E125" s="226">
        <v>34</v>
      </c>
      <c r="F125" s="226">
        <f>D105</f>
        <v>53</v>
      </c>
      <c r="G125" s="226">
        <v>125</v>
      </c>
      <c r="I125" s="199">
        <v>70</v>
      </c>
      <c r="J125" s="625">
        <f>ROUNDUP(F125+G125,-1)</f>
        <v>180</v>
      </c>
      <c r="K125" s="626">
        <f>D125+E125+J125</f>
        <v>214</v>
      </c>
    </row>
    <row r="126" spans="2:11">
      <c r="B126" s="199" t="s">
        <v>5</v>
      </c>
      <c r="C126" s="226">
        <v>0</v>
      </c>
      <c r="D126" s="226">
        <v>0</v>
      </c>
      <c r="E126" s="226">
        <v>12</v>
      </c>
      <c r="F126" s="226">
        <f>E105</f>
        <v>32</v>
      </c>
      <c r="G126" s="226">
        <v>307</v>
      </c>
      <c r="I126" s="199">
        <v>141</v>
      </c>
      <c r="J126" s="625">
        <f>ROUNDUP(F126+G126,-1)</f>
        <v>340</v>
      </c>
      <c r="K126" s="626">
        <f>D126+E126+J126</f>
        <v>352</v>
      </c>
    </row>
    <row r="127" spans="2:11">
      <c r="B127" s="199" t="s">
        <v>6</v>
      </c>
      <c r="C127" s="226">
        <v>0</v>
      </c>
      <c r="D127" s="226">
        <v>0</v>
      </c>
      <c r="E127" s="226">
        <v>45</v>
      </c>
      <c r="F127" s="226">
        <f>F105</f>
        <v>119</v>
      </c>
      <c r="G127" s="226">
        <v>221</v>
      </c>
      <c r="I127" s="199">
        <v>90</v>
      </c>
      <c r="J127" s="625">
        <f>ROUNDUP(F127+G127,-1)</f>
        <v>340</v>
      </c>
      <c r="K127" s="626">
        <f>D127+E127+J127</f>
        <v>385</v>
      </c>
    </row>
    <row r="128" spans="2:11">
      <c r="B128" s="199" t="s">
        <v>3</v>
      </c>
      <c r="C128" s="226">
        <f t="shared" ref="C128:G128" si="19">SUM(C125:C127)</f>
        <v>0</v>
      </c>
      <c r="D128" s="226">
        <f t="shared" si="19"/>
        <v>0</v>
      </c>
      <c r="E128" s="226">
        <f t="shared" si="19"/>
        <v>91</v>
      </c>
      <c r="F128" s="226">
        <f t="shared" si="19"/>
        <v>204</v>
      </c>
      <c r="G128" s="226">
        <f t="shared" si="19"/>
        <v>653</v>
      </c>
      <c r="I128" s="199">
        <f>SUM(I125:I127)</f>
        <v>301</v>
      </c>
      <c r="J128" s="625">
        <f>SUM(J125:J127)</f>
        <v>860</v>
      </c>
      <c r="K128" s="625">
        <f>SUM(K125:K127)</f>
        <v>951</v>
      </c>
    </row>
    <row r="129" spans="2:11">
      <c r="C129" s="226"/>
      <c r="D129" s="226"/>
      <c r="F129" s="226"/>
      <c r="G129" s="226">
        <f>F128+G128</f>
        <v>857</v>
      </c>
      <c r="J129" s="208"/>
      <c r="K129" s="208"/>
    </row>
    <row r="130" spans="2:11">
      <c r="C130" s="226"/>
      <c r="D130" s="226"/>
      <c r="E130" s="199">
        <f>E120+E128</f>
        <v>423</v>
      </c>
      <c r="F130" s="226"/>
      <c r="J130" s="208"/>
      <c r="K130" s="208"/>
    </row>
    <row r="131" spans="2:11">
      <c r="B131" s="211" t="s">
        <v>172</v>
      </c>
      <c r="K131" s="208"/>
    </row>
    <row r="132" spans="2:11" ht="24">
      <c r="C132" s="576" t="s">
        <v>749</v>
      </c>
      <c r="D132" s="576" t="s">
        <v>230</v>
      </c>
      <c r="E132" s="211" t="s">
        <v>255</v>
      </c>
      <c r="F132" s="211" t="s">
        <v>231</v>
      </c>
      <c r="G132" s="211"/>
      <c r="H132" s="211" t="s">
        <v>1033</v>
      </c>
      <c r="J132" s="199" t="s">
        <v>682</v>
      </c>
      <c r="K132" s="624" t="s">
        <v>683</v>
      </c>
    </row>
    <row r="133" spans="2:11">
      <c r="D133" s="576"/>
      <c r="E133" s="245"/>
      <c r="F133" s="245" t="s">
        <v>253</v>
      </c>
      <c r="G133" s="245" t="s">
        <v>678</v>
      </c>
      <c r="I133" s="785" t="s">
        <v>1032</v>
      </c>
      <c r="K133" s="208"/>
    </row>
    <row r="134" spans="2:11">
      <c r="B134" s="199" t="s">
        <v>4</v>
      </c>
      <c r="C134" s="226">
        <v>0</v>
      </c>
      <c r="D134" s="226">
        <v>0</v>
      </c>
      <c r="E134" s="226">
        <v>0</v>
      </c>
      <c r="F134" s="226">
        <v>0</v>
      </c>
      <c r="G134" s="226">
        <v>0</v>
      </c>
      <c r="J134" s="208">
        <f>ROUNDUP(F134/8*12+G134,-1)</f>
        <v>0</v>
      </c>
      <c r="K134" s="626">
        <f>D134+E134+J134</f>
        <v>0</v>
      </c>
    </row>
    <row r="135" spans="2:11">
      <c r="B135" s="199" t="s">
        <v>5</v>
      </c>
      <c r="C135" s="226">
        <v>0</v>
      </c>
      <c r="D135" s="226">
        <v>0</v>
      </c>
      <c r="E135" s="226">
        <v>0</v>
      </c>
      <c r="F135" s="226">
        <v>0</v>
      </c>
      <c r="G135" s="226">
        <v>0</v>
      </c>
      <c r="J135" s="208">
        <f>ROUNDUP(F135/8*12+G135,-1)</f>
        <v>0</v>
      </c>
      <c r="K135" s="626">
        <f>D135+E135+J135</f>
        <v>0</v>
      </c>
    </row>
    <row r="136" spans="2:11">
      <c r="B136" s="199" t="s">
        <v>6</v>
      </c>
      <c r="C136" s="226">
        <v>0</v>
      </c>
      <c r="D136" s="226">
        <v>0</v>
      </c>
      <c r="E136" s="226">
        <v>0</v>
      </c>
      <c r="F136" s="226">
        <v>0</v>
      </c>
      <c r="G136" s="226">
        <v>0</v>
      </c>
      <c r="J136" s="208">
        <f>ROUNDUP(F136/8*12+G136,-1)</f>
        <v>0</v>
      </c>
      <c r="K136" s="626">
        <f>D136+E136+J136</f>
        <v>0</v>
      </c>
    </row>
    <row r="137" spans="2:11">
      <c r="B137" s="199" t="s">
        <v>3</v>
      </c>
      <c r="C137" s="226">
        <f t="shared" ref="C137:G137" si="20">SUM(C134:C136)</f>
        <v>0</v>
      </c>
      <c r="D137" s="226">
        <f t="shared" si="20"/>
        <v>0</v>
      </c>
      <c r="E137" s="226">
        <f t="shared" si="20"/>
        <v>0</v>
      </c>
      <c r="F137" s="226">
        <f t="shared" si="20"/>
        <v>0</v>
      </c>
      <c r="G137" s="226">
        <f t="shared" si="20"/>
        <v>0</v>
      </c>
      <c r="J137" s="208">
        <f>SUM(J134:J136)</f>
        <v>0</v>
      </c>
      <c r="K137" s="625">
        <f>SUM(K134:K136)</f>
        <v>0</v>
      </c>
    </row>
    <row r="139" spans="2:11">
      <c r="B139" s="197" t="s">
        <v>746</v>
      </c>
      <c r="C139" s="198"/>
      <c r="D139" s="198"/>
      <c r="E139" s="198"/>
      <c r="F139" s="198"/>
      <c r="G139" s="198"/>
    </row>
    <row r="141" spans="2:11" ht="45" customHeight="1">
      <c r="C141" s="255" t="s">
        <v>29</v>
      </c>
      <c r="D141" s="574" t="s">
        <v>739</v>
      </c>
      <c r="E141" s="255" t="s">
        <v>740</v>
      </c>
      <c r="F141" s="255" t="s">
        <v>19</v>
      </c>
      <c r="G141" s="255" t="s">
        <v>747</v>
      </c>
      <c r="H141" s="255"/>
      <c r="I141" s="256"/>
    </row>
    <row r="142" spans="2:11" ht="12.75">
      <c r="B142" s="237" t="s">
        <v>20</v>
      </c>
      <c r="C142" s="212">
        <v>9764</v>
      </c>
      <c r="D142" s="524">
        <v>8156</v>
      </c>
      <c r="E142" s="216">
        <v>111</v>
      </c>
      <c r="F142" s="524">
        <v>1497</v>
      </c>
      <c r="G142" s="212">
        <v>1832</v>
      </c>
      <c r="H142" s="212"/>
      <c r="I142" s="260"/>
    </row>
    <row r="143" spans="2:11" ht="12.75">
      <c r="B143" s="237" t="s">
        <v>21</v>
      </c>
      <c r="C143" s="212">
        <v>9947</v>
      </c>
      <c r="D143" s="524">
        <v>7516</v>
      </c>
      <c r="E143" s="216">
        <v>149</v>
      </c>
      <c r="F143" s="524">
        <v>2282</v>
      </c>
      <c r="G143" s="212">
        <v>1719</v>
      </c>
      <c r="H143" s="212"/>
      <c r="I143" s="260"/>
    </row>
    <row r="144" spans="2:11" ht="12.75">
      <c r="B144" s="237" t="s">
        <v>22</v>
      </c>
      <c r="C144" s="212">
        <v>10090</v>
      </c>
      <c r="D144" s="524">
        <v>7567</v>
      </c>
      <c r="E144" s="216">
        <v>174</v>
      </c>
      <c r="F144" s="524">
        <v>2349</v>
      </c>
      <c r="G144" s="212">
        <v>3227</v>
      </c>
      <c r="H144" s="212"/>
      <c r="I144" s="260"/>
    </row>
    <row r="145" spans="2:9" ht="12.75">
      <c r="B145" s="258" t="s">
        <v>23</v>
      </c>
      <c r="C145" s="212">
        <v>9602</v>
      </c>
      <c r="D145" s="524">
        <v>4642</v>
      </c>
      <c r="E145" s="216">
        <v>585</v>
      </c>
      <c r="F145" s="524">
        <v>4375</v>
      </c>
      <c r="G145" s="212">
        <v>4503</v>
      </c>
      <c r="H145" s="212"/>
      <c r="I145" s="260"/>
    </row>
    <row r="146" spans="2:9" ht="12.75">
      <c r="B146" s="258" t="s">
        <v>24</v>
      </c>
      <c r="C146" s="212">
        <v>9478</v>
      </c>
      <c r="D146" s="524">
        <v>4327</v>
      </c>
      <c r="E146" s="216">
        <v>760</v>
      </c>
      <c r="F146" s="524">
        <v>4391</v>
      </c>
      <c r="G146" s="212">
        <v>3362</v>
      </c>
      <c r="H146" s="212"/>
      <c r="I146" s="260"/>
    </row>
    <row r="147" spans="2:9" ht="12.75">
      <c r="B147" s="237" t="s">
        <v>25</v>
      </c>
      <c r="C147" s="212">
        <v>3596</v>
      </c>
      <c r="D147" s="524">
        <v>1686</v>
      </c>
      <c r="E147" s="216">
        <v>456</v>
      </c>
      <c r="F147" s="524">
        <v>1454</v>
      </c>
      <c r="G147" s="212">
        <v>4420</v>
      </c>
      <c r="H147" s="212"/>
      <c r="I147" s="260"/>
    </row>
    <row r="148" spans="2:9" ht="12.75">
      <c r="B148" s="237" t="s">
        <v>26</v>
      </c>
      <c r="C148" s="212">
        <v>2949</v>
      </c>
      <c r="D148" s="524">
        <v>1567</v>
      </c>
      <c r="E148" s="216">
        <v>211</v>
      </c>
      <c r="F148" s="524">
        <v>1171</v>
      </c>
      <c r="G148" s="212">
        <v>6050</v>
      </c>
      <c r="H148" s="212"/>
      <c r="I148" s="260"/>
    </row>
    <row r="149" spans="2:9" ht="12.75">
      <c r="B149" s="237" t="s">
        <v>27</v>
      </c>
      <c r="C149" s="212">
        <v>10885</v>
      </c>
      <c r="D149" s="524">
        <v>6125</v>
      </c>
      <c r="E149" s="216">
        <v>1381</v>
      </c>
      <c r="F149" s="524">
        <v>3379</v>
      </c>
      <c r="G149" s="212">
        <v>5262</v>
      </c>
      <c r="H149" s="212"/>
      <c r="I149" s="260"/>
    </row>
    <row r="150" spans="2:9" ht="12.75">
      <c r="B150" s="259" t="s">
        <v>28</v>
      </c>
      <c r="C150" s="212">
        <v>9817</v>
      </c>
      <c r="D150" s="524">
        <v>6262</v>
      </c>
      <c r="E150" s="216">
        <v>815</v>
      </c>
      <c r="F150" s="524">
        <v>2740</v>
      </c>
      <c r="G150" s="212">
        <v>4555</v>
      </c>
      <c r="H150" s="212"/>
      <c r="I150" s="260"/>
    </row>
    <row r="151" spans="2:9" ht="12.75">
      <c r="B151" s="237" t="s">
        <v>49</v>
      </c>
      <c r="C151" s="212">
        <v>14501</v>
      </c>
      <c r="D151" s="524">
        <v>9312</v>
      </c>
      <c r="E151" s="216">
        <v>1323</v>
      </c>
      <c r="F151" s="524">
        <v>3866</v>
      </c>
      <c r="G151" s="212">
        <v>6129</v>
      </c>
      <c r="H151" s="212"/>
      <c r="I151" s="260"/>
    </row>
    <row r="152" spans="2:9">
      <c r="B152" s="237" t="s">
        <v>256</v>
      </c>
      <c r="C152" s="212">
        <v>11470</v>
      </c>
      <c r="D152" s="216">
        <v>6000</v>
      </c>
      <c r="E152" s="216">
        <v>1000</v>
      </c>
      <c r="F152" s="216">
        <v>4500</v>
      </c>
      <c r="G152" s="212"/>
      <c r="H152" s="212"/>
      <c r="I152" s="260"/>
    </row>
    <row r="153" spans="2:9">
      <c r="G153" s="212"/>
    </row>
    <row r="154" spans="2:9">
      <c r="B154" s="199" t="s">
        <v>745</v>
      </c>
    </row>
  </sheetData>
  <phoneticPr fontId="24" type="noConversion"/>
  <conditionalFormatting sqref="D81:D90">
    <cfRule type="colorScale" priority="2">
      <colorScale>
        <cfvo type="min"/>
        <cfvo type="max"/>
        <color rgb="FFFCFCFF"/>
        <color rgb="FF63BE7B"/>
      </colorScale>
    </cfRule>
  </conditionalFormatting>
  <conditionalFormatting sqref="E61:E79 E91">
    <cfRule type="colorScale" priority="8">
      <colorScale>
        <cfvo type="min"/>
        <cfvo type="max"/>
        <color rgb="FFFCFCFF"/>
        <color rgb="FF63BE7B"/>
      </colorScale>
    </cfRule>
  </conditionalFormatting>
  <conditionalFormatting sqref="F81:F90">
    <cfRule type="colorScale" priority="3">
      <colorScale>
        <cfvo type="min"/>
        <cfvo type="max"/>
        <color rgb="FFFCFCFF"/>
        <color rgb="FF63BE7B"/>
      </colorScale>
    </cfRule>
  </conditionalFormatting>
  <conditionalFormatting sqref="H61:H88 H90:H91">
    <cfRule type="colorScale" priority="9">
      <colorScale>
        <cfvo type="min"/>
        <cfvo type="max"/>
        <color rgb="FFFCFCFF"/>
        <color rgb="FF63BE7B"/>
      </colorScale>
    </cfRule>
  </conditionalFormatting>
  <conditionalFormatting sqref="H89">
    <cfRule type="colorScale" priority="1">
      <colorScale>
        <cfvo type="min"/>
        <cfvo type="max"/>
        <color rgb="FFFCFCFF"/>
        <color rgb="FF63BE7B"/>
      </colorScale>
    </cfRule>
  </conditionalFormatting>
  <hyperlinks>
    <hyperlink ref="B94" r:id="rId1" xr:uid="{9E25E77F-A0A8-417A-9117-E1F2787F320F}"/>
    <hyperlink ref="B4" r:id="rId2" xr:uid="{FE7932C5-8F45-409D-AAC2-2CFD0EFA4ABE}"/>
    <hyperlink ref="B27" r:id="rId3" xr:uid="{052EF8DA-93BF-452F-87EE-E0DB2E851A26}"/>
    <hyperlink ref="B51" r:id="rId4" xr:uid="{C830C033-B223-4C10-9836-6FFA7783AECF}"/>
  </hyperlinks>
  <pageMargins left="0.7" right="0.7" top="0.75" bottom="0.75" header="0.3" footer="0.3"/>
  <pageSetup orientation="portrait" horizontalDpi="1200" verticalDpi="1200" r:id="rId5"/>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2A36A-B318-4486-B1A8-183CAA8403C3}">
  <dimension ref="A1:Z108"/>
  <sheetViews>
    <sheetView zoomScale="98" zoomScaleNormal="98" workbookViewId="0">
      <selection activeCell="E18" sqref="E18"/>
    </sheetView>
  </sheetViews>
  <sheetFormatPr defaultRowHeight="14.25"/>
  <cols>
    <col min="1" max="1" width="2.5" customWidth="1"/>
    <col min="2" max="2" width="31.75" customWidth="1"/>
    <col min="3" max="3" width="9.25" customWidth="1"/>
    <col min="4" max="4" width="8.375" customWidth="1"/>
    <col min="5" max="5" width="9.25" customWidth="1"/>
    <col min="6" max="6" width="7.75" customWidth="1"/>
    <col min="7" max="7" width="8.25" customWidth="1"/>
    <col min="8" max="8" width="7.75" customWidth="1"/>
    <col min="9" max="9" width="7.875" customWidth="1"/>
    <col min="10" max="10" width="8.625" customWidth="1"/>
    <col min="11" max="11" width="9.25" customWidth="1"/>
    <col min="12" max="12" width="7.25" customWidth="1"/>
    <col min="13" max="13" width="41.875" customWidth="1"/>
    <col min="14" max="14" width="7.5" customWidth="1"/>
  </cols>
  <sheetData>
    <row r="1" spans="1:26" ht="20.25">
      <c r="B1" s="806" t="s">
        <v>1064</v>
      </c>
      <c r="C1" s="807"/>
      <c r="D1" s="807"/>
      <c r="E1" s="807"/>
      <c r="F1" s="807"/>
      <c r="G1" s="807"/>
      <c r="H1" s="807"/>
      <c r="I1" s="807"/>
      <c r="J1" s="807"/>
      <c r="K1" s="807"/>
      <c r="L1" s="807"/>
      <c r="M1" s="806" t="s">
        <v>1065</v>
      </c>
      <c r="N1" s="807"/>
      <c r="O1" s="807"/>
      <c r="P1" s="807"/>
      <c r="Q1" s="807"/>
      <c r="R1" s="807"/>
      <c r="S1" s="807"/>
      <c r="Z1" s="30" t="s">
        <v>175</v>
      </c>
    </row>
    <row r="2" spans="1:26">
      <c r="B2" s="5"/>
      <c r="C2" s="56"/>
      <c r="M2" s="5"/>
      <c r="N2" s="56"/>
      <c r="Z2" s="253"/>
    </row>
    <row r="3" spans="1:26">
      <c r="B3" s="5" t="s">
        <v>176</v>
      </c>
      <c r="C3" s="106">
        <v>46118</v>
      </c>
      <c r="E3" s="2"/>
      <c r="M3" s="5" t="s">
        <v>176</v>
      </c>
      <c r="N3" s="106">
        <v>46118</v>
      </c>
      <c r="P3" s="2"/>
      <c r="Z3" s="253" t="s">
        <v>177</v>
      </c>
    </row>
    <row r="4" spans="1:26">
      <c r="B4" s="5"/>
      <c r="C4" s="10"/>
      <c r="E4" s="2"/>
      <c r="M4" s="5"/>
      <c r="N4" s="10"/>
      <c r="P4" s="2"/>
      <c r="Z4" s="254" t="s">
        <v>286</v>
      </c>
    </row>
    <row r="5" spans="1:26" ht="15">
      <c r="A5" t="s">
        <v>36</v>
      </c>
      <c r="B5" s="44" t="s">
        <v>178</v>
      </c>
      <c r="C5" s="44"/>
      <c r="D5" s="44"/>
      <c r="E5" s="44"/>
      <c r="F5" s="44"/>
      <c r="G5" s="44"/>
      <c r="H5" s="44"/>
      <c r="I5" s="28"/>
      <c r="J5" s="28"/>
      <c r="K5" s="28"/>
      <c r="M5" s="44" t="s">
        <v>178</v>
      </c>
      <c r="N5" s="44"/>
      <c r="O5" s="44"/>
      <c r="P5" s="44"/>
      <c r="Q5" s="44"/>
      <c r="R5" s="44"/>
      <c r="S5" s="44"/>
      <c r="T5" s="28"/>
      <c r="U5" s="28"/>
      <c r="V5" s="28"/>
      <c r="Z5" s="5" t="s">
        <v>179</v>
      </c>
    </row>
    <row r="6" spans="1:26" ht="13.9" customHeight="1">
      <c r="B6" s="30" t="s">
        <v>180</v>
      </c>
      <c r="C6" s="110" t="s">
        <v>115</v>
      </c>
      <c r="D6" s="110" t="s">
        <v>115</v>
      </c>
      <c r="E6" s="110" t="s">
        <v>115</v>
      </c>
      <c r="F6" s="110" t="s">
        <v>115</v>
      </c>
      <c r="G6" s="111" t="s">
        <v>116</v>
      </c>
      <c r="H6" s="111" t="s">
        <v>116</v>
      </c>
      <c r="I6" s="111" t="s">
        <v>116</v>
      </c>
      <c r="J6" s="111" t="s">
        <v>116</v>
      </c>
      <c r="K6" s="111"/>
      <c r="L6" s="5"/>
      <c r="M6" s="30" t="s">
        <v>180</v>
      </c>
      <c r="N6" s="110" t="s">
        <v>115</v>
      </c>
      <c r="O6" s="110" t="s">
        <v>115</v>
      </c>
      <c r="P6" s="110" t="s">
        <v>115</v>
      </c>
      <c r="Q6" s="111" t="s">
        <v>116</v>
      </c>
      <c r="R6" s="111" t="s">
        <v>116</v>
      </c>
      <c r="S6" s="111" t="s">
        <v>116</v>
      </c>
      <c r="T6" s="111" t="s">
        <v>116</v>
      </c>
      <c r="U6" s="111" t="s">
        <v>116</v>
      </c>
      <c r="V6" s="111"/>
      <c r="Z6" s="5" t="s">
        <v>181</v>
      </c>
    </row>
    <row r="7" spans="1:26" ht="13.9" customHeight="1">
      <c r="B7" s="30"/>
      <c r="C7" s="31">
        <v>2022</v>
      </c>
      <c r="D7" s="31">
        <v>2023</v>
      </c>
      <c r="E7" s="31">
        <v>2024</v>
      </c>
      <c r="F7" s="31">
        <v>2025</v>
      </c>
      <c r="G7" s="31">
        <v>2026</v>
      </c>
      <c r="H7" s="31">
        <v>2027</v>
      </c>
      <c r="I7" s="31">
        <v>2028</v>
      </c>
      <c r="J7" s="31">
        <v>2029</v>
      </c>
      <c r="K7" s="31"/>
      <c r="L7" s="5"/>
      <c r="M7" s="30"/>
      <c r="N7" s="31">
        <v>2022</v>
      </c>
      <c r="O7" s="31">
        <v>2023</v>
      </c>
      <c r="P7" s="31">
        <v>2024</v>
      </c>
      <c r="Q7" s="31">
        <v>2025</v>
      </c>
      <c r="R7" s="31">
        <v>2026</v>
      </c>
      <c r="S7" s="31">
        <v>2027</v>
      </c>
      <c r="T7" s="31">
        <v>2028</v>
      </c>
      <c r="U7" s="31">
        <v>2029</v>
      </c>
      <c r="V7" s="31"/>
    </row>
    <row r="8" spans="1:26" ht="13.9" customHeight="1">
      <c r="B8" s="5" t="s">
        <v>0</v>
      </c>
      <c r="C8" s="33">
        <f t="shared" ref="C8:J8" si="0">C64</f>
        <v>13591.15796</v>
      </c>
      <c r="D8" s="33">
        <f>D64</f>
        <v>9515.5534800000005</v>
      </c>
      <c r="E8" s="33">
        <f t="shared" si="0"/>
        <v>14207.10852</v>
      </c>
      <c r="F8" s="33">
        <f>F64</f>
        <v>11298.693879999999</v>
      </c>
      <c r="G8" s="33">
        <f t="shared" si="0"/>
        <v>9655.9715199999991</v>
      </c>
      <c r="H8" s="33">
        <f t="shared" si="0"/>
        <v>9964.8406400000003</v>
      </c>
      <c r="I8" s="33">
        <f t="shared" si="0"/>
        <v>9656</v>
      </c>
      <c r="J8" s="33">
        <f t="shared" si="0"/>
        <v>6759.2000000000007</v>
      </c>
      <c r="K8" s="33"/>
      <c r="L8" s="5"/>
      <c r="M8" s="5" t="s">
        <v>0</v>
      </c>
      <c r="N8" s="33">
        <f t="shared" ref="N8:U8" si="1">N64</f>
        <v>13591.15796</v>
      </c>
      <c r="O8" s="33">
        <f t="shared" si="1"/>
        <v>9515.5534800000005</v>
      </c>
      <c r="P8" s="33">
        <f t="shared" si="1"/>
        <v>14207.10852</v>
      </c>
      <c r="Q8" s="33">
        <f>Q64</f>
        <v>11298.693879999999</v>
      </c>
      <c r="R8" s="33">
        <f t="shared" si="1"/>
        <v>9671.614239999999</v>
      </c>
      <c r="S8" s="33">
        <f t="shared" si="1"/>
        <v>7550.8406399999994</v>
      </c>
      <c r="T8" s="33">
        <f t="shared" si="1"/>
        <v>6759.2000000000007</v>
      </c>
      <c r="U8" s="33">
        <f t="shared" si="1"/>
        <v>6759.2000000000007</v>
      </c>
      <c r="V8" s="33"/>
    </row>
    <row r="9" spans="1:26" ht="13.9" customHeight="1">
      <c r="B9" s="5" t="s">
        <v>1</v>
      </c>
      <c r="C9" s="33">
        <f t="shared" ref="C9:J9" si="2">C48</f>
        <v>3997.3994000000002</v>
      </c>
      <c r="D9" s="33">
        <f t="shared" si="2"/>
        <v>6796.0915999999997</v>
      </c>
      <c r="E9" s="33">
        <f t="shared" si="2"/>
        <v>5096.1243999999997</v>
      </c>
      <c r="F9" s="33">
        <f t="shared" si="2"/>
        <v>4427.9575999999997</v>
      </c>
      <c r="G9" s="33">
        <f t="shared" si="2"/>
        <v>4771</v>
      </c>
      <c r="H9" s="33">
        <f t="shared" si="2"/>
        <v>5481.2</v>
      </c>
      <c r="I9" s="33">
        <f t="shared" si="2"/>
        <v>2982.2</v>
      </c>
      <c r="J9" s="33">
        <f t="shared" si="2"/>
        <v>2229.6999999999998</v>
      </c>
      <c r="K9" s="33"/>
      <c r="L9" s="5"/>
      <c r="M9" s="5" t="s">
        <v>1</v>
      </c>
      <c r="N9" s="33">
        <f t="shared" ref="N9:U9" si="3">N48</f>
        <v>3997.3994000000002</v>
      </c>
      <c r="O9" s="33">
        <f t="shared" si="3"/>
        <v>6796.0915999999997</v>
      </c>
      <c r="P9" s="33">
        <f t="shared" si="3"/>
        <v>5096.1243999999997</v>
      </c>
      <c r="Q9" s="33">
        <f t="shared" si="3"/>
        <v>4427.9575999999997</v>
      </c>
      <c r="R9" s="33">
        <f t="shared" si="3"/>
        <v>4776</v>
      </c>
      <c r="S9" s="33">
        <f t="shared" si="3"/>
        <v>4775.8007999999991</v>
      </c>
      <c r="T9" s="33">
        <f t="shared" si="3"/>
        <v>2503.8007999999991</v>
      </c>
      <c r="U9" s="33">
        <f t="shared" si="3"/>
        <v>2503.8007999999991</v>
      </c>
      <c r="V9" s="33"/>
    </row>
    <row r="10" spans="1:26" ht="13.9" customHeight="1">
      <c r="B10" s="5" t="s">
        <v>2</v>
      </c>
      <c r="C10" s="33">
        <f t="shared" ref="C10:J10" si="4">C51</f>
        <v>1998.6997000000001</v>
      </c>
      <c r="D10" s="33">
        <f t="shared" si="4"/>
        <v>3398.0457999999999</v>
      </c>
      <c r="E10" s="33">
        <f t="shared" si="4"/>
        <v>2548.0621999999998</v>
      </c>
      <c r="F10" s="33">
        <f t="shared" si="4"/>
        <v>2213.9787999999999</v>
      </c>
      <c r="G10" s="33">
        <f t="shared" si="4"/>
        <v>2385.8626999999997</v>
      </c>
      <c r="H10" s="33">
        <f t="shared" si="4"/>
        <v>2740.6</v>
      </c>
      <c r="I10" s="33">
        <f t="shared" si="4"/>
        <v>1490.6</v>
      </c>
      <c r="J10" s="33">
        <f t="shared" si="4"/>
        <v>1114.5999999999999</v>
      </c>
      <c r="K10" s="33"/>
      <c r="L10" s="5"/>
      <c r="M10" s="5" t="s">
        <v>2</v>
      </c>
      <c r="N10" s="33">
        <f t="shared" ref="N10:U10" si="5">N51</f>
        <v>1998.6997000000001</v>
      </c>
      <c r="O10" s="33">
        <f t="shared" si="5"/>
        <v>3398.0457999999999</v>
      </c>
      <c r="P10" s="33">
        <f t="shared" si="5"/>
        <v>2548.0621999999998</v>
      </c>
      <c r="Q10" s="33">
        <f t="shared" si="5"/>
        <v>2213.9787999999999</v>
      </c>
      <c r="R10" s="33">
        <f t="shared" si="5"/>
        <v>2388.1630999999998</v>
      </c>
      <c r="S10" s="33">
        <f t="shared" si="5"/>
        <v>2387.9003999999995</v>
      </c>
      <c r="T10" s="33">
        <f t="shared" si="5"/>
        <v>1251.9003999999995</v>
      </c>
      <c r="U10" s="33">
        <f t="shared" si="5"/>
        <v>1251.9003999999995</v>
      </c>
      <c r="V10" s="33"/>
    </row>
    <row r="11" spans="1:26" ht="13.9" customHeight="1">
      <c r="B11" s="5" t="s">
        <v>172</v>
      </c>
      <c r="C11" s="33">
        <f t="shared" ref="C11:J11" si="6">C54</f>
        <v>399.73993999999999</v>
      </c>
      <c r="D11" s="33">
        <f t="shared" si="6"/>
        <v>679.60915999999997</v>
      </c>
      <c r="E11" s="33">
        <f t="shared" si="6"/>
        <v>509.61243999999999</v>
      </c>
      <c r="F11" s="33">
        <f t="shared" si="6"/>
        <v>442.79575999999997</v>
      </c>
      <c r="G11" s="33">
        <f t="shared" si="6"/>
        <v>477.17253999999991</v>
      </c>
      <c r="H11" s="33">
        <f t="shared" si="6"/>
        <v>548.11999999999989</v>
      </c>
      <c r="I11" s="33">
        <f t="shared" si="6"/>
        <v>298.11999999999983</v>
      </c>
      <c r="J11" s="33">
        <f t="shared" si="6"/>
        <v>222.91999999999985</v>
      </c>
      <c r="K11" s="33"/>
      <c r="L11" s="5"/>
      <c r="M11" s="5" t="s">
        <v>172</v>
      </c>
      <c r="N11" s="33">
        <f t="shared" ref="N11:U11" si="7">N54</f>
        <v>399.73993999999999</v>
      </c>
      <c r="O11" s="33">
        <f t="shared" si="7"/>
        <v>679.60915999999997</v>
      </c>
      <c r="P11" s="33">
        <f t="shared" si="7"/>
        <v>509.61243999999999</v>
      </c>
      <c r="Q11" s="33">
        <f t="shared" si="7"/>
        <v>442.79575999999997</v>
      </c>
      <c r="R11" s="33">
        <f t="shared" si="7"/>
        <v>477.63261999999997</v>
      </c>
      <c r="S11" s="33">
        <f t="shared" si="7"/>
        <v>477.58007999999995</v>
      </c>
      <c r="T11" s="33">
        <f t="shared" si="7"/>
        <v>250.38007999999996</v>
      </c>
      <c r="U11" s="33">
        <f t="shared" si="7"/>
        <v>250.18007999999998</v>
      </c>
      <c r="V11" s="33"/>
    </row>
    <row r="12" spans="1:26">
      <c r="B12" s="107" t="s">
        <v>182</v>
      </c>
      <c r="C12" s="108">
        <f>SUM(C8:C11)</f>
        <v>19986.996999999999</v>
      </c>
      <c r="D12" s="108">
        <f t="shared" ref="D12:F12" si="8">SUM(D8:D11)</f>
        <v>20389.300040000002</v>
      </c>
      <c r="E12" s="108">
        <f t="shared" si="8"/>
        <v>22360.90756</v>
      </c>
      <c r="F12" s="108">
        <f t="shared" si="8"/>
        <v>18383.426039999998</v>
      </c>
      <c r="G12" s="108">
        <f t="shared" ref="G12:H12" si="9">SUM(G8:G11)</f>
        <v>17290.006759999997</v>
      </c>
      <c r="H12" s="108">
        <f t="shared" si="9"/>
        <v>18734.760639999997</v>
      </c>
      <c r="I12" s="108">
        <f t="shared" ref="I12:J12" si="10">SUM(I8:I11)</f>
        <v>14426.92</v>
      </c>
      <c r="J12" s="108">
        <f t="shared" si="10"/>
        <v>10326.420000000002</v>
      </c>
      <c r="K12" s="108"/>
      <c r="L12" s="5"/>
      <c r="M12" s="107" t="s">
        <v>182</v>
      </c>
      <c r="N12" s="108">
        <f>SUM(N8:N11)</f>
        <v>19986.996999999999</v>
      </c>
      <c r="O12" s="108">
        <f t="shared" ref="O12:U12" si="11">SUM(O8:O11)</f>
        <v>20389.300040000002</v>
      </c>
      <c r="P12" s="108">
        <f t="shared" si="11"/>
        <v>22360.90756</v>
      </c>
      <c r="Q12" s="108">
        <f t="shared" si="11"/>
        <v>18383.426039999998</v>
      </c>
      <c r="R12" s="108">
        <f t="shared" si="11"/>
        <v>17313.409960000001</v>
      </c>
      <c r="S12" s="108">
        <f t="shared" si="11"/>
        <v>15192.121919999998</v>
      </c>
      <c r="T12" s="108">
        <f t="shared" si="11"/>
        <v>10765.281280000001</v>
      </c>
      <c r="U12" s="108">
        <f t="shared" si="11"/>
        <v>10765.08128</v>
      </c>
      <c r="V12" s="108"/>
    </row>
    <row r="13" spans="1:26">
      <c r="B13" s="5"/>
      <c r="C13" s="5"/>
      <c r="D13" s="5"/>
      <c r="E13" s="5"/>
      <c r="F13" s="33"/>
      <c r="G13" s="33"/>
      <c r="H13" s="33"/>
      <c r="I13" s="33"/>
      <c r="J13" s="33"/>
      <c r="K13" s="5"/>
      <c r="L13" s="5"/>
      <c r="M13" s="5"/>
      <c r="N13" s="5"/>
      <c r="O13" s="5"/>
      <c r="P13" s="5"/>
      <c r="Q13" s="33"/>
      <c r="R13" s="5"/>
      <c r="S13" s="5"/>
      <c r="T13" s="5"/>
      <c r="U13" s="5"/>
      <c r="V13" s="5"/>
    </row>
    <row r="14" spans="1:26">
      <c r="B14" s="152" t="s">
        <v>258</v>
      </c>
      <c r="C14" s="153"/>
      <c r="D14" s="153"/>
      <c r="E14" s="154"/>
      <c r="F14" s="154"/>
      <c r="G14" s="154"/>
      <c r="H14" s="154"/>
      <c r="I14" s="154"/>
      <c r="J14" s="154"/>
      <c r="K14" s="154"/>
      <c r="L14" s="5"/>
      <c r="M14" s="152" t="s">
        <v>258</v>
      </c>
      <c r="N14" s="153"/>
      <c r="O14" s="153"/>
      <c r="P14" s="154"/>
      <c r="Q14" s="154"/>
      <c r="R14" s="154"/>
      <c r="S14" s="154"/>
      <c r="T14" s="154"/>
      <c r="U14" s="154"/>
      <c r="V14" s="154"/>
    </row>
    <row r="15" spans="1:26">
      <c r="B15" s="30"/>
      <c r="C15" s="110" t="s">
        <v>115</v>
      </c>
      <c r="D15" s="110" t="s">
        <v>115</v>
      </c>
      <c r="E15" s="110" t="s">
        <v>115</v>
      </c>
      <c r="F15" s="864" t="s">
        <v>116</v>
      </c>
      <c r="G15" s="864" t="s">
        <v>116</v>
      </c>
      <c r="H15" s="864" t="s">
        <v>116</v>
      </c>
      <c r="I15" s="864" t="s">
        <v>116</v>
      </c>
      <c r="J15" s="864" t="s">
        <v>116</v>
      </c>
      <c r="K15" s="111"/>
      <c r="L15" s="5"/>
      <c r="M15" s="30"/>
      <c r="N15" s="110" t="s">
        <v>115</v>
      </c>
      <c r="O15" s="110" t="s">
        <v>115</v>
      </c>
      <c r="P15" s="110" t="s">
        <v>115</v>
      </c>
      <c r="Q15" s="111" t="s">
        <v>116</v>
      </c>
      <c r="R15" s="111" t="s">
        <v>116</v>
      </c>
      <c r="S15" s="111" t="s">
        <v>116</v>
      </c>
      <c r="T15" s="111" t="s">
        <v>116</v>
      </c>
      <c r="U15" s="111" t="s">
        <v>116</v>
      </c>
      <c r="V15" s="111"/>
    </row>
    <row r="16" spans="1:26">
      <c r="B16" s="5"/>
      <c r="C16" s="31">
        <v>2022</v>
      </c>
      <c r="D16" s="31">
        <v>2023</v>
      </c>
      <c r="E16" s="31">
        <v>2024</v>
      </c>
      <c r="F16" s="31">
        <v>2025</v>
      </c>
      <c r="G16" s="31">
        <v>2026</v>
      </c>
      <c r="H16" s="31">
        <v>2027</v>
      </c>
      <c r="I16" s="31">
        <v>2028</v>
      </c>
      <c r="J16" s="31">
        <v>2029</v>
      </c>
      <c r="K16" s="29" t="s">
        <v>895</v>
      </c>
      <c r="L16" s="5"/>
      <c r="M16" s="5"/>
      <c r="N16" s="31">
        <v>2022</v>
      </c>
      <c r="O16" s="31">
        <v>2023</v>
      </c>
      <c r="P16" s="31">
        <v>2024</v>
      </c>
      <c r="Q16" s="31">
        <v>2025</v>
      </c>
      <c r="R16" s="31">
        <v>2026</v>
      </c>
      <c r="S16" s="31">
        <v>2027</v>
      </c>
      <c r="T16" s="31">
        <v>2028</v>
      </c>
      <c r="U16" s="31">
        <v>2029</v>
      </c>
      <c r="V16" s="29" t="s">
        <v>895</v>
      </c>
    </row>
    <row r="17" spans="1:22">
      <c r="B17" s="5" t="s">
        <v>0</v>
      </c>
      <c r="C17" s="33">
        <v>10885</v>
      </c>
      <c r="D17" s="33">
        <v>9817</v>
      </c>
      <c r="E17" s="33">
        <v>14501</v>
      </c>
      <c r="F17" s="33">
        <f>Progress!C152</f>
        <v>11470</v>
      </c>
      <c r="G17" s="33">
        <f>G64</f>
        <v>9655.9715199999991</v>
      </c>
      <c r="H17" s="33">
        <f>H29</f>
        <v>9656</v>
      </c>
      <c r="I17" s="33">
        <f t="shared" ref="I17:J17" si="12">I29</f>
        <v>9656</v>
      </c>
      <c r="J17" s="33">
        <f t="shared" si="12"/>
        <v>6759.2000000000007</v>
      </c>
      <c r="K17" s="33">
        <f>K21*0.68</f>
        <v>6759.2000000000007</v>
      </c>
      <c r="L17" s="5"/>
      <c r="M17" s="5" t="s">
        <v>0</v>
      </c>
      <c r="N17" s="33">
        <v>10885</v>
      </c>
      <c r="O17" s="33">
        <v>9817</v>
      </c>
      <c r="P17" s="33">
        <v>14501</v>
      </c>
      <c r="Q17" s="33">
        <f>Progress!C152</f>
        <v>11470</v>
      </c>
      <c r="R17" s="33">
        <f>R64</f>
        <v>9671.614239999999</v>
      </c>
      <c r="S17" s="33">
        <f>S29</f>
        <v>7241.9999999999991</v>
      </c>
      <c r="T17" s="33">
        <f t="shared" ref="T17:U17" si="13">T29</f>
        <v>6759.2000000000007</v>
      </c>
      <c r="U17" s="33">
        <f t="shared" si="13"/>
        <v>6759.2000000000007</v>
      </c>
      <c r="V17" s="33">
        <f>V21*0.68</f>
        <v>6759.2000000000007</v>
      </c>
    </row>
    <row r="18" spans="1:22">
      <c r="B18" s="5" t="s">
        <v>1</v>
      </c>
      <c r="C18" s="33">
        <f>C36</f>
        <v>0</v>
      </c>
      <c r="D18" s="33">
        <f t="shared" ref="D18:G18" si="14">D36</f>
        <v>0</v>
      </c>
      <c r="E18" s="33">
        <v>332</v>
      </c>
      <c r="F18" s="33">
        <f>F36</f>
        <v>2000</v>
      </c>
      <c r="G18" s="33">
        <f t="shared" si="14"/>
        <v>2000</v>
      </c>
      <c r="H18" s="33">
        <f>H36</f>
        <v>5339</v>
      </c>
      <c r="I18" s="33">
        <f t="shared" ref="I18:J18" si="15">I36</f>
        <v>2740.5</v>
      </c>
      <c r="J18" s="33">
        <f t="shared" si="15"/>
        <v>2130</v>
      </c>
      <c r="K18" s="33">
        <f>K21*0.2</f>
        <v>1988</v>
      </c>
      <c r="L18" s="5"/>
      <c r="M18" s="5" t="s">
        <v>1</v>
      </c>
      <c r="N18" s="33">
        <f>N36</f>
        <v>0</v>
      </c>
      <c r="O18" s="33">
        <f t="shared" ref="O18" si="16">O36</f>
        <v>0</v>
      </c>
      <c r="P18" s="33">
        <v>332</v>
      </c>
      <c r="Q18" s="33">
        <f>Q36</f>
        <v>2000</v>
      </c>
      <c r="R18" s="33">
        <f t="shared" ref="R18" si="17">R36</f>
        <v>2000</v>
      </c>
      <c r="S18" s="33">
        <f>S36</f>
        <v>4260</v>
      </c>
      <c r="T18" s="33">
        <f t="shared" ref="T18:U18" si="18">T36</f>
        <v>1988</v>
      </c>
      <c r="U18" s="33">
        <f t="shared" si="18"/>
        <v>1988</v>
      </c>
      <c r="V18" s="33">
        <f>V21*0.2</f>
        <v>1988</v>
      </c>
    </row>
    <row r="19" spans="1:22">
      <c r="B19" s="5" t="s">
        <v>2</v>
      </c>
      <c r="C19" s="33">
        <f>C38</f>
        <v>0</v>
      </c>
      <c r="D19" s="33">
        <f t="shared" ref="D19:H19" si="19">D38</f>
        <v>0</v>
      </c>
      <c r="E19" s="33">
        <v>91</v>
      </c>
      <c r="F19" s="33">
        <f t="shared" si="19"/>
        <v>1000</v>
      </c>
      <c r="G19" s="33">
        <f t="shared" si="19"/>
        <v>1000</v>
      </c>
      <c r="H19" s="33">
        <f t="shared" si="19"/>
        <v>2670</v>
      </c>
      <c r="I19" s="33">
        <f t="shared" ref="I19:J19" si="20">I38</f>
        <v>1370</v>
      </c>
      <c r="J19" s="33">
        <f t="shared" si="20"/>
        <v>1150</v>
      </c>
      <c r="K19" s="33">
        <f>K21*0.1</f>
        <v>994</v>
      </c>
      <c r="L19" s="5"/>
      <c r="M19" s="5" t="s">
        <v>2</v>
      </c>
      <c r="N19" s="33">
        <f>N38</f>
        <v>0</v>
      </c>
      <c r="O19" s="33">
        <f t="shared" ref="O19" si="21">O38</f>
        <v>0</v>
      </c>
      <c r="P19" s="33">
        <v>91</v>
      </c>
      <c r="Q19" s="33">
        <f t="shared" ref="Q19:U19" si="22">Q38</f>
        <v>1000</v>
      </c>
      <c r="R19" s="33">
        <f t="shared" si="22"/>
        <v>1000</v>
      </c>
      <c r="S19" s="33">
        <f t="shared" si="22"/>
        <v>2130</v>
      </c>
      <c r="T19" s="33">
        <f t="shared" si="22"/>
        <v>994</v>
      </c>
      <c r="U19" s="33">
        <f t="shared" si="22"/>
        <v>994</v>
      </c>
      <c r="V19" s="33">
        <f>V21*0.1</f>
        <v>994</v>
      </c>
    </row>
    <row r="20" spans="1:22">
      <c r="B20" s="5" t="s">
        <v>172</v>
      </c>
      <c r="C20" s="33">
        <f>C40</f>
        <v>0</v>
      </c>
      <c r="D20" s="33">
        <f t="shared" ref="D20:H20" si="23">D40</f>
        <v>0</v>
      </c>
      <c r="E20" s="33">
        <f t="shared" si="23"/>
        <v>0</v>
      </c>
      <c r="F20" s="33">
        <f t="shared" si="23"/>
        <v>0</v>
      </c>
      <c r="G20" s="33">
        <f t="shared" si="23"/>
        <v>100</v>
      </c>
      <c r="H20" s="33">
        <f t="shared" si="23"/>
        <v>534</v>
      </c>
      <c r="I20" s="33">
        <f t="shared" ref="I20:J20" si="24">I40</f>
        <v>274</v>
      </c>
      <c r="J20" s="33">
        <f t="shared" si="24"/>
        <v>230</v>
      </c>
      <c r="K20" s="33">
        <f>K21*0.02</f>
        <v>198.8</v>
      </c>
      <c r="L20" s="5"/>
      <c r="M20" s="5" t="s">
        <v>172</v>
      </c>
      <c r="N20" s="33">
        <f>N40</f>
        <v>0</v>
      </c>
      <c r="O20" s="33">
        <f t="shared" ref="O20:U20" si="25">O40</f>
        <v>0</v>
      </c>
      <c r="P20" s="33">
        <f t="shared" si="25"/>
        <v>0</v>
      </c>
      <c r="Q20" s="33">
        <f t="shared" si="25"/>
        <v>0</v>
      </c>
      <c r="R20" s="33">
        <f t="shared" si="25"/>
        <v>100</v>
      </c>
      <c r="S20" s="33">
        <f t="shared" si="25"/>
        <v>426</v>
      </c>
      <c r="T20" s="33">
        <f t="shared" si="25"/>
        <v>199</v>
      </c>
      <c r="U20" s="33">
        <f t="shared" si="25"/>
        <v>199</v>
      </c>
      <c r="V20" s="33">
        <f>V21*0.02</f>
        <v>198.8</v>
      </c>
    </row>
    <row r="21" spans="1:22">
      <c r="B21" s="107" t="s">
        <v>183</v>
      </c>
      <c r="C21" s="108">
        <f>SUM(C17:C20)</f>
        <v>10885</v>
      </c>
      <c r="D21" s="108">
        <f t="shared" ref="D21:H21" si="26">SUM(D17:D20)</f>
        <v>9817</v>
      </c>
      <c r="E21" s="108">
        <f t="shared" si="26"/>
        <v>14924</v>
      </c>
      <c r="F21" s="108">
        <f t="shared" si="26"/>
        <v>14470</v>
      </c>
      <c r="G21" s="108">
        <f t="shared" si="26"/>
        <v>12755.971519999999</v>
      </c>
      <c r="H21" s="108">
        <f t="shared" si="26"/>
        <v>18199</v>
      </c>
      <c r="I21" s="108">
        <f t="shared" ref="I21:J21" si="27">SUM(I17:I20)</f>
        <v>14040.5</v>
      </c>
      <c r="J21" s="108">
        <f t="shared" si="27"/>
        <v>10269.200000000001</v>
      </c>
      <c r="K21" s="108">
        <f>140000*0.071</f>
        <v>9940</v>
      </c>
      <c r="L21" s="5"/>
      <c r="M21" s="107" t="s">
        <v>183</v>
      </c>
      <c r="N21" s="108">
        <f>SUM(N17:N20)</f>
        <v>10885</v>
      </c>
      <c r="O21" s="108">
        <f t="shared" ref="O21:U21" si="28">SUM(O17:O20)</f>
        <v>9817</v>
      </c>
      <c r="P21" s="108">
        <f t="shared" si="28"/>
        <v>14924</v>
      </c>
      <c r="Q21" s="108">
        <f t="shared" si="28"/>
        <v>14470</v>
      </c>
      <c r="R21" s="108">
        <f t="shared" si="28"/>
        <v>12771.614239999999</v>
      </c>
      <c r="S21" s="108">
        <f t="shared" si="28"/>
        <v>14058</v>
      </c>
      <c r="T21" s="108">
        <f t="shared" si="28"/>
        <v>9940.2000000000007</v>
      </c>
      <c r="U21" s="108">
        <f t="shared" si="28"/>
        <v>9940.2000000000007</v>
      </c>
      <c r="V21" s="108">
        <f>140000*0.071</f>
        <v>9940</v>
      </c>
    </row>
    <row r="22" spans="1:22">
      <c r="E22" s="2"/>
      <c r="F22" s="2"/>
      <c r="G22" s="2"/>
      <c r="H22" s="2"/>
      <c r="P22" s="2"/>
      <c r="Q22" s="2"/>
      <c r="R22" s="2"/>
      <c r="S22" s="2"/>
    </row>
    <row r="23" spans="1:22" ht="15">
      <c r="B23" s="44" t="s">
        <v>184</v>
      </c>
      <c r="C23" s="28"/>
      <c r="D23" s="28"/>
      <c r="E23" s="28"/>
      <c r="F23" s="112"/>
      <c r="G23" s="112"/>
      <c r="H23" s="112"/>
      <c r="I23" s="28"/>
      <c r="J23" s="28"/>
      <c r="K23" s="28"/>
      <c r="M23" s="44" t="s">
        <v>184</v>
      </c>
      <c r="N23" s="28"/>
      <c r="O23" s="28"/>
      <c r="P23" s="28"/>
      <c r="Q23" s="112"/>
      <c r="R23" s="112"/>
      <c r="S23" s="112"/>
      <c r="T23" s="28"/>
      <c r="U23" s="28"/>
      <c r="V23" s="28"/>
    </row>
    <row r="24" spans="1:22" ht="15.75">
      <c r="B24" s="113"/>
      <c r="C24" s="105"/>
      <c r="H24" s="114" t="s">
        <v>185</v>
      </c>
      <c r="M24" s="113"/>
      <c r="N24" s="105"/>
      <c r="S24" s="114" t="s">
        <v>185</v>
      </c>
    </row>
    <row r="25" spans="1:22" ht="15">
      <c r="A25" t="s">
        <v>36</v>
      </c>
      <c r="B25" s="115" t="s">
        <v>186</v>
      </c>
      <c r="C25" s="116"/>
      <c r="D25" s="116"/>
      <c r="E25" s="116"/>
      <c r="F25" s="116"/>
      <c r="G25" s="116"/>
      <c r="H25" s="116"/>
      <c r="I25" s="116"/>
      <c r="M25" s="115" t="s">
        <v>186</v>
      </c>
      <c r="N25" s="116"/>
      <c r="O25" s="116"/>
      <c r="P25" s="116"/>
      <c r="Q25" s="116"/>
      <c r="R25" s="116"/>
      <c r="S25" s="116"/>
      <c r="T25" s="116"/>
    </row>
    <row r="26" spans="1:22" ht="15" customHeight="1">
      <c r="B26" s="30" t="s">
        <v>187</v>
      </c>
      <c r="C26" s="31">
        <v>2022</v>
      </c>
      <c r="D26" s="31">
        <v>2023</v>
      </c>
      <c r="E26" s="31">
        <v>2024</v>
      </c>
      <c r="F26" s="31">
        <v>2025</v>
      </c>
      <c r="G26" s="31">
        <v>2026</v>
      </c>
      <c r="H26" s="31">
        <v>2027</v>
      </c>
      <c r="I26" s="31">
        <v>2028</v>
      </c>
      <c r="J26" s="31">
        <v>2029</v>
      </c>
      <c r="M26" s="30" t="s">
        <v>187</v>
      </c>
      <c r="N26" s="31">
        <v>2022</v>
      </c>
      <c r="O26" s="31">
        <v>2023</v>
      </c>
      <c r="P26" s="31">
        <v>2024</v>
      </c>
      <c r="Q26" s="31">
        <v>2025</v>
      </c>
      <c r="R26" s="31">
        <v>2026</v>
      </c>
      <c r="S26" s="31">
        <v>2027</v>
      </c>
      <c r="T26" s="31">
        <v>2028</v>
      </c>
      <c r="U26" s="31">
        <v>2029</v>
      </c>
    </row>
    <row r="27" spans="1:22" ht="13.5" customHeight="1">
      <c r="B27" s="5" t="s">
        <v>188</v>
      </c>
      <c r="C27" s="32">
        <v>281507</v>
      </c>
      <c r="D27" s="32">
        <v>197091</v>
      </c>
      <c r="E27" s="32">
        <v>161791</v>
      </c>
      <c r="F27" s="117">
        <v>150037</v>
      </c>
      <c r="G27" s="117">
        <v>186000</v>
      </c>
      <c r="H27" s="118">
        <f>140000+60000</f>
        <v>200000</v>
      </c>
      <c r="I27" s="118">
        <v>200000</v>
      </c>
      <c r="J27" s="118">
        <v>140000</v>
      </c>
      <c r="M27" s="5" t="s">
        <v>188</v>
      </c>
      <c r="N27" s="32">
        <v>281507</v>
      </c>
      <c r="O27" s="32">
        <v>197091</v>
      </c>
      <c r="P27" s="32">
        <v>161791</v>
      </c>
      <c r="Q27" s="117">
        <v>150037</v>
      </c>
      <c r="R27" s="117">
        <v>186324</v>
      </c>
      <c r="S27" s="118">
        <v>150000</v>
      </c>
      <c r="T27" s="118">
        <v>140000</v>
      </c>
      <c r="U27" s="118">
        <v>140000</v>
      </c>
    </row>
    <row r="28" spans="1:22">
      <c r="B28" s="5" t="s">
        <v>189</v>
      </c>
      <c r="C28" s="32">
        <f>C27*0.071</f>
        <v>19986.996999999999</v>
      </c>
      <c r="D28" s="32">
        <f t="shared" ref="D28:H28" si="29">D27*0.071</f>
        <v>13993.460999999999</v>
      </c>
      <c r="E28" s="32">
        <f t="shared" si="29"/>
        <v>11487.160999999998</v>
      </c>
      <c r="F28" s="32">
        <f>F27*0.071</f>
        <v>10652.626999999999</v>
      </c>
      <c r="G28" s="32">
        <f t="shared" si="29"/>
        <v>13205.999999999998</v>
      </c>
      <c r="H28" s="32">
        <f t="shared" si="29"/>
        <v>14199.999999999998</v>
      </c>
      <c r="I28" s="32">
        <f t="shared" ref="I28:J28" si="30">I27*0.071</f>
        <v>14199.999999999998</v>
      </c>
      <c r="J28" s="32">
        <f t="shared" si="30"/>
        <v>9940</v>
      </c>
      <c r="K28" s="805"/>
      <c r="M28" s="5" t="s">
        <v>189</v>
      </c>
      <c r="N28" s="32">
        <f>N27*0.071</f>
        <v>19986.996999999999</v>
      </c>
      <c r="O28" s="32">
        <f t="shared" ref="O28:P28" si="31">O27*0.071</f>
        <v>13993.460999999999</v>
      </c>
      <c r="P28" s="32">
        <f t="shared" si="31"/>
        <v>11487.160999999998</v>
      </c>
      <c r="Q28" s="32">
        <f>Q27*0.071</f>
        <v>10652.626999999999</v>
      </c>
      <c r="R28" s="32">
        <f t="shared" ref="R28:U28" si="32">R27*0.071</f>
        <v>13229.003999999999</v>
      </c>
      <c r="S28" s="32">
        <f t="shared" si="32"/>
        <v>10649.999999999998</v>
      </c>
      <c r="T28" s="32">
        <f t="shared" si="32"/>
        <v>9940</v>
      </c>
      <c r="U28" s="32">
        <f t="shared" si="32"/>
        <v>9940</v>
      </c>
    </row>
    <row r="29" spans="1:22">
      <c r="B29" s="119" t="s">
        <v>190</v>
      </c>
      <c r="C29" s="32">
        <f>C28*0.68</f>
        <v>13591.15796</v>
      </c>
      <c r="D29" s="32">
        <f>D28*0.68</f>
        <v>9515.5534800000005</v>
      </c>
      <c r="E29" s="32">
        <f t="shared" ref="E29:H29" si="33">E28*0.68</f>
        <v>7811.269479999999</v>
      </c>
      <c r="F29" s="32">
        <f>F28*0.68</f>
        <v>7243.7863599999991</v>
      </c>
      <c r="G29" s="32">
        <f t="shared" si="33"/>
        <v>8980.08</v>
      </c>
      <c r="H29" s="32">
        <f t="shared" si="33"/>
        <v>9656</v>
      </c>
      <c r="I29" s="32">
        <f t="shared" ref="I29:J29" si="34">I28*0.68</f>
        <v>9656</v>
      </c>
      <c r="J29" s="32">
        <f t="shared" si="34"/>
        <v>6759.2000000000007</v>
      </c>
      <c r="M29" s="119" t="s">
        <v>190</v>
      </c>
      <c r="N29" s="32">
        <f>N28*0.68</f>
        <v>13591.15796</v>
      </c>
      <c r="O29" s="32">
        <f t="shared" ref="O29:P29" si="35">O28*0.68</f>
        <v>9515.5534800000005</v>
      </c>
      <c r="P29" s="32">
        <f t="shared" si="35"/>
        <v>7811.269479999999</v>
      </c>
      <c r="Q29" s="32">
        <f>Q28*0.68</f>
        <v>7243.7863599999991</v>
      </c>
      <c r="R29" s="32">
        <f t="shared" ref="R29:U29" si="36">R28*0.68</f>
        <v>8995.7227199999998</v>
      </c>
      <c r="S29" s="32">
        <f t="shared" si="36"/>
        <v>7241.9999999999991</v>
      </c>
      <c r="T29" s="32">
        <f t="shared" si="36"/>
        <v>6759.2000000000007</v>
      </c>
      <c r="U29" s="32">
        <f t="shared" si="36"/>
        <v>6759.2000000000007</v>
      </c>
    </row>
    <row r="30" spans="1:22">
      <c r="B30" s="119" t="s">
        <v>191</v>
      </c>
      <c r="C30" s="120">
        <f>C28*0.2</f>
        <v>3997.3994000000002</v>
      </c>
      <c r="D30" s="120">
        <f t="shared" ref="D30:H30" si="37">D28*0.2</f>
        <v>2798.6922</v>
      </c>
      <c r="E30" s="120">
        <f t="shared" si="37"/>
        <v>2297.4321999999997</v>
      </c>
      <c r="F30" s="120">
        <f>F28*0.2</f>
        <v>2130.5254</v>
      </c>
      <c r="G30" s="120">
        <f t="shared" si="37"/>
        <v>2641.2</v>
      </c>
      <c r="H30" s="120">
        <f t="shared" si="37"/>
        <v>2840</v>
      </c>
      <c r="I30" s="120">
        <f t="shared" ref="I30:J30" si="38">I28*0.2</f>
        <v>2840</v>
      </c>
      <c r="J30" s="120">
        <f t="shared" si="38"/>
        <v>1988</v>
      </c>
      <c r="M30" s="119" t="s">
        <v>191</v>
      </c>
      <c r="N30" s="120">
        <f>N28*0.2</f>
        <v>3997.3994000000002</v>
      </c>
      <c r="O30" s="120">
        <f t="shared" ref="O30:P30" si="39">O28*0.2</f>
        <v>2798.6922</v>
      </c>
      <c r="P30" s="120">
        <f t="shared" si="39"/>
        <v>2297.4321999999997</v>
      </c>
      <c r="Q30" s="120">
        <f>Q28*0.2</f>
        <v>2130.5254</v>
      </c>
      <c r="R30" s="120">
        <f t="shared" ref="R30:U30" si="40">R28*0.2</f>
        <v>2645.8008</v>
      </c>
      <c r="S30" s="120">
        <f t="shared" si="40"/>
        <v>2129.9999999999995</v>
      </c>
      <c r="T30" s="120">
        <f t="shared" si="40"/>
        <v>1988</v>
      </c>
      <c r="U30" s="120">
        <f t="shared" si="40"/>
        <v>1988</v>
      </c>
    </row>
    <row r="31" spans="1:22">
      <c r="B31" s="119" t="s">
        <v>192</v>
      </c>
      <c r="C31" s="33">
        <f>C28*0.1</f>
        <v>1998.6997000000001</v>
      </c>
      <c r="D31" s="33">
        <f t="shared" ref="D31:H31" si="41">D28*0.1</f>
        <v>1399.3461</v>
      </c>
      <c r="E31" s="33">
        <f t="shared" si="41"/>
        <v>1148.7160999999999</v>
      </c>
      <c r="F31" s="33">
        <f t="shared" si="41"/>
        <v>1065.2627</v>
      </c>
      <c r="G31" s="33">
        <f t="shared" si="41"/>
        <v>1320.6</v>
      </c>
      <c r="H31" s="33">
        <f t="shared" si="41"/>
        <v>1420</v>
      </c>
      <c r="I31" s="33">
        <f t="shared" ref="I31:J31" si="42">I28*0.1</f>
        <v>1420</v>
      </c>
      <c r="J31" s="33">
        <f t="shared" si="42"/>
        <v>994</v>
      </c>
      <c r="M31" s="119" t="s">
        <v>192</v>
      </c>
      <c r="N31" s="33">
        <f>N28*0.1</f>
        <v>1998.6997000000001</v>
      </c>
      <c r="O31" s="33">
        <f t="shared" ref="O31:U31" si="43">O28*0.1</f>
        <v>1399.3461</v>
      </c>
      <c r="P31" s="33">
        <f t="shared" si="43"/>
        <v>1148.7160999999999</v>
      </c>
      <c r="Q31" s="33">
        <f t="shared" si="43"/>
        <v>1065.2627</v>
      </c>
      <c r="R31" s="33">
        <f t="shared" si="43"/>
        <v>1322.9004</v>
      </c>
      <c r="S31" s="33">
        <f t="shared" si="43"/>
        <v>1064.9999999999998</v>
      </c>
      <c r="T31" s="33">
        <f t="shared" si="43"/>
        <v>994</v>
      </c>
      <c r="U31" s="33">
        <f t="shared" si="43"/>
        <v>994</v>
      </c>
    </row>
    <row r="32" spans="1:22">
      <c r="B32" s="119" t="s">
        <v>193</v>
      </c>
      <c r="C32" s="33">
        <f>C28*0.02</f>
        <v>399.73993999999999</v>
      </c>
      <c r="D32" s="33">
        <f t="shared" ref="D32:H32" si="44">D28*0.02</f>
        <v>279.86921999999998</v>
      </c>
      <c r="E32" s="33">
        <f t="shared" si="44"/>
        <v>229.74321999999998</v>
      </c>
      <c r="F32" s="33">
        <f t="shared" si="44"/>
        <v>213.05253999999996</v>
      </c>
      <c r="G32" s="33">
        <f t="shared" si="44"/>
        <v>264.11999999999995</v>
      </c>
      <c r="H32" s="33">
        <f t="shared" si="44"/>
        <v>283.99999999999994</v>
      </c>
      <c r="I32" s="33">
        <f t="shared" ref="I32:J32" si="45">I28*0.02</f>
        <v>283.99999999999994</v>
      </c>
      <c r="J32" s="33">
        <f t="shared" si="45"/>
        <v>198.8</v>
      </c>
      <c r="M32" s="119" t="s">
        <v>193</v>
      </c>
      <c r="N32" s="33">
        <f>N28*0.02</f>
        <v>399.73993999999999</v>
      </c>
      <c r="O32" s="33">
        <f t="shared" ref="O32:U32" si="46">O28*0.02</f>
        <v>279.86921999999998</v>
      </c>
      <c r="P32" s="33">
        <f t="shared" si="46"/>
        <v>229.74321999999998</v>
      </c>
      <c r="Q32" s="33">
        <f t="shared" si="46"/>
        <v>213.05253999999996</v>
      </c>
      <c r="R32" s="33">
        <f t="shared" si="46"/>
        <v>264.58008000000001</v>
      </c>
      <c r="S32" s="33">
        <f t="shared" si="46"/>
        <v>212.99999999999997</v>
      </c>
      <c r="T32" s="33">
        <f t="shared" si="46"/>
        <v>198.8</v>
      </c>
      <c r="U32" s="33">
        <f t="shared" si="46"/>
        <v>198.8</v>
      </c>
    </row>
    <row r="33" spans="1:22">
      <c r="F33" s="121">
        <f>SUM(F30:F32)</f>
        <v>3408.8406399999999</v>
      </c>
      <c r="G33" s="121"/>
      <c r="Q33" s="121">
        <f>SUM(Q30:Q32)</f>
        <v>3408.8406399999999</v>
      </c>
      <c r="R33" s="352"/>
    </row>
    <row r="34" spans="1:22" ht="15">
      <c r="A34" t="s">
        <v>36</v>
      </c>
      <c r="B34" s="122" t="s">
        <v>194</v>
      </c>
      <c r="C34" s="122"/>
      <c r="D34" s="122"/>
      <c r="E34" s="122"/>
      <c r="F34" s="122"/>
      <c r="G34" s="122"/>
      <c r="H34" s="122"/>
      <c r="I34" s="122"/>
      <c r="M34" s="122" t="s">
        <v>194</v>
      </c>
      <c r="N34" s="122"/>
      <c r="O34" s="122"/>
      <c r="P34" s="122"/>
      <c r="Q34" s="122"/>
      <c r="R34" s="122"/>
      <c r="S34" s="122"/>
      <c r="T34" s="122"/>
    </row>
    <row r="35" spans="1:22" ht="15">
      <c r="B35" s="123" t="s">
        <v>195</v>
      </c>
      <c r="C35" s="124">
        <v>2022</v>
      </c>
      <c r="D35" s="124">
        <v>2023</v>
      </c>
      <c r="E35" s="124">
        <v>2024</v>
      </c>
      <c r="F35" s="124">
        <v>2025</v>
      </c>
      <c r="G35" s="124">
        <v>2026</v>
      </c>
      <c r="H35" s="124">
        <v>2027</v>
      </c>
      <c r="I35" s="124">
        <v>2028</v>
      </c>
      <c r="J35" s="124">
        <v>2029</v>
      </c>
      <c r="K35" s="124"/>
      <c r="M35" s="123" t="s">
        <v>195</v>
      </c>
      <c r="N35" s="124">
        <v>2022</v>
      </c>
      <c r="O35" s="124">
        <v>2023</v>
      </c>
      <c r="P35" s="124">
        <v>2024</v>
      </c>
      <c r="Q35" s="124">
        <v>2025</v>
      </c>
      <c r="R35" s="124">
        <v>2026</v>
      </c>
      <c r="S35" s="124">
        <v>2027</v>
      </c>
      <c r="T35" s="124">
        <v>2028</v>
      </c>
      <c r="U35" s="124">
        <v>2029</v>
      </c>
      <c r="V35" s="124"/>
    </row>
    <row r="36" spans="1:22">
      <c r="B36" t="s">
        <v>196</v>
      </c>
      <c r="C36" s="125">
        <v>0</v>
      </c>
      <c r="D36" s="125">
        <v>0</v>
      </c>
      <c r="E36" s="125">
        <v>332</v>
      </c>
      <c r="F36" s="126">
        <f>ROUNDUP(Progress!J120,-3)</f>
        <v>2000</v>
      </c>
      <c r="G36" s="126">
        <v>2000</v>
      </c>
      <c r="H36" s="126">
        <v>5339</v>
      </c>
      <c r="I36" s="126">
        <v>2740.5</v>
      </c>
      <c r="J36" s="799">
        <v>2130</v>
      </c>
      <c r="K36" s="801"/>
      <c r="M36" t="s">
        <v>196</v>
      </c>
      <c r="N36" s="125">
        <v>0</v>
      </c>
      <c r="O36" s="125">
        <v>0</v>
      </c>
      <c r="P36" s="125">
        <v>332</v>
      </c>
      <c r="Q36" s="126">
        <f>F36</f>
        <v>2000</v>
      </c>
      <c r="R36" s="126">
        <v>2000</v>
      </c>
      <c r="S36" s="126">
        <v>4260</v>
      </c>
      <c r="T36" s="126">
        <v>1988</v>
      </c>
      <c r="U36" s="799">
        <v>1988</v>
      </c>
      <c r="V36" s="801"/>
    </row>
    <row r="37" spans="1:22">
      <c r="B37" s="127" t="s">
        <v>197</v>
      </c>
      <c r="C37" s="125"/>
      <c r="D37" s="125"/>
      <c r="E37" s="125"/>
      <c r="F37" s="110" t="str">
        <f>IF(F36&lt;=F48,"yes","NO")</f>
        <v>yes</v>
      </c>
      <c r="G37" s="110" t="str">
        <f>IF(G36&lt;=G48,"yes","NO")</f>
        <v>yes</v>
      </c>
      <c r="H37" s="110" t="str">
        <f>IF(H36&lt;=H48,"yes","NO")</f>
        <v>yes</v>
      </c>
      <c r="I37" s="110" t="str">
        <f t="shared" ref="I37:J37" si="47">IF(I36&lt;=I48,"yes","NO")</f>
        <v>yes</v>
      </c>
      <c r="J37" s="110" t="str">
        <f t="shared" si="47"/>
        <v>yes</v>
      </c>
      <c r="K37" s="110"/>
      <c r="M37" s="127" t="s">
        <v>197</v>
      </c>
      <c r="N37" s="125"/>
      <c r="O37" s="125"/>
      <c r="P37" s="125"/>
      <c r="Q37" s="110" t="str">
        <f>IF(Q36&lt;=Q48,"yes","NO")</f>
        <v>yes</v>
      </c>
      <c r="R37" s="110" t="str">
        <f>IF(R36&lt;=R48,"yes","NO")</f>
        <v>yes</v>
      </c>
      <c r="S37" s="110" t="str">
        <f>IF(S36&lt;=S48,"yes","NO")</f>
        <v>yes</v>
      </c>
      <c r="T37" s="110" t="str">
        <f t="shared" ref="T37:U37" si="48">IF(T36&lt;=T48,"yes","NO")</f>
        <v>yes</v>
      </c>
      <c r="U37" s="110" t="str">
        <f t="shared" si="48"/>
        <v>yes</v>
      </c>
      <c r="V37" s="110"/>
    </row>
    <row r="38" spans="1:22">
      <c r="B38" t="s">
        <v>198</v>
      </c>
      <c r="C38" s="125">
        <v>0</v>
      </c>
      <c r="D38" s="125">
        <v>0</v>
      </c>
      <c r="E38" s="125">
        <v>91</v>
      </c>
      <c r="F38" s="126">
        <f>ROUNDUP(Progress!J128,-3)</f>
        <v>1000</v>
      </c>
      <c r="G38" s="126">
        <v>1000</v>
      </c>
      <c r="H38" s="126">
        <v>2670</v>
      </c>
      <c r="I38" s="126">
        <v>1370</v>
      </c>
      <c r="J38" s="799">
        <v>1150</v>
      </c>
      <c r="K38" s="801"/>
      <c r="M38" t="s">
        <v>198</v>
      </c>
      <c r="N38" s="125">
        <v>0</v>
      </c>
      <c r="O38" s="125">
        <v>0</v>
      </c>
      <c r="P38" s="125">
        <v>91</v>
      </c>
      <c r="Q38" s="126">
        <f>F38</f>
        <v>1000</v>
      </c>
      <c r="R38" s="126">
        <v>1000</v>
      </c>
      <c r="S38" s="126">
        <v>2130</v>
      </c>
      <c r="T38" s="126">
        <v>994</v>
      </c>
      <c r="U38" s="799">
        <v>994</v>
      </c>
      <c r="V38" s="801"/>
    </row>
    <row r="39" spans="1:22">
      <c r="B39" s="127" t="s">
        <v>197</v>
      </c>
      <c r="C39" s="125"/>
      <c r="D39" s="125"/>
      <c r="E39" s="125"/>
      <c r="F39" s="110" t="str">
        <f>IF(F38&lt;=F51,"yes","NO")</f>
        <v>yes</v>
      </c>
      <c r="G39" s="110" t="str">
        <f>IF(G38&lt;=G51,"yes","NO")</f>
        <v>yes</v>
      </c>
      <c r="H39" s="110" t="str">
        <f>IF(H38&lt;=H51,"yes","NO")</f>
        <v>yes</v>
      </c>
      <c r="I39" s="110" t="str">
        <f t="shared" ref="I39:J39" si="49">IF(I38&lt;=I51,"yes","NO")</f>
        <v>yes</v>
      </c>
      <c r="J39" s="110" t="str">
        <f t="shared" si="49"/>
        <v>NO</v>
      </c>
      <c r="K39" s="110"/>
      <c r="M39" s="127" t="s">
        <v>197</v>
      </c>
      <c r="N39" s="125"/>
      <c r="O39" s="125"/>
      <c r="P39" s="125"/>
      <c r="Q39" s="110" t="str">
        <f>IF(Q38&lt;=Q51,"yes","NO")</f>
        <v>yes</v>
      </c>
      <c r="R39" s="110" t="str">
        <f>IF(R38&lt;=R51,"yes","NO")</f>
        <v>yes</v>
      </c>
      <c r="S39" s="110" t="str">
        <f>IF(S38&lt;=S51,"yes","NO")</f>
        <v>yes</v>
      </c>
      <c r="T39" s="110" t="str">
        <f t="shared" ref="T39:U39" si="50">IF(T38&lt;=T51,"yes","NO")</f>
        <v>yes</v>
      </c>
      <c r="U39" s="110" t="str">
        <f t="shared" si="50"/>
        <v>yes</v>
      </c>
      <c r="V39" s="110"/>
    </row>
    <row r="40" spans="1:22">
      <c r="B40" t="s">
        <v>199</v>
      </c>
      <c r="C40" s="125">
        <v>0</v>
      </c>
      <c r="D40" s="125">
        <v>0</v>
      </c>
      <c r="E40" s="125">
        <v>0</v>
      </c>
      <c r="F40" s="128">
        <v>0</v>
      </c>
      <c r="G40" s="128">
        <v>100</v>
      </c>
      <c r="H40" s="128">
        <v>534</v>
      </c>
      <c r="I40" s="128">
        <v>274</v>
      </c>
      <c r="J40" s="800">
        <v>230</v>
      </c>
      <c r="K40" s="802"/>
      <c r="M40" t="s">
        <v>199</v>
      </c>
      <c r="N40" s="125">
        <v>0</v>
      </c>
      <c r="O40" s="125">
        <v>0</v>
      </c>
      <c r="P40" s="125">
        <v>0</v>
      </c>
      <c r="Q40" s="128">
        <v>0</v>
      </c>
      <c r="R40" s="128">
        <v>100</v>
      </c>
      <c r="S40" s="128">
        <v>426</v>
      </c>
      <c r="T40" s="128">
        <v>199</v>
      </c>
      <c r="U40" s="800">
        <v>199</v>
      </c>
      <c r="V40" s="802"/>
    </row>
    <row r="41" spans="1:22">
      <c r="B41" s="127" t="s">
        <v>197</v>
      </c>
      <c r="C41" s="125"/>
      <c r="D41" s="125"/>
      <c r="E41" s="125"/>
      <c r="F41" s="110" t="str">
        <f>IF(F40&lt;=F54,"yes","NO")</f>
        <v>yes</v>
      </c>
      <c r="G41" s="110" t="str">
        <f t="shared" ref="G41:J41" si="51">IF(G40&lt;=G54,"yes","NO")</f>
        <v>yes</v>
      </c>
      <c r="H41" s="110" t="str">
        <f t="shared" si="51"/>
        <v>yes</v>
      </c>
      <c r="I41" s="110" t="str">
        <f t="shared" si="51"/>
        <v>yes</v>
      </c>
      <c r="J41" s="110" t="str">
        <f t="shared" si="51"/>
        <v>NO</v>
      </c>
      <c r="K41" s="802"/>
      <c r="M41" s="127" t="s">
        <v>197</v>
      </c>
      <c r="N41" s="125"/>
      <c r="O41" s="125"/>
      <c r="P41" s="125"/>
      <c r="Q41" s="110" t="str">
        <f>IF(Q40&lt;=Q54,"yes","NO")</f>
        <v>yes</v>
      </c>
      <c r="R41" s="110" t="str">
        <f t="shared" ref="R41:U41" si="52">IF(R40&lt;=R54,"yes","NO")</f>
        <v>yes</v>
      </c>
      <c r="S41" s="110" t="str">
        <f t="shared" si="52"/>
        <v>yes</v>
      </c>
      <c r="T41" s="110" t="str">
        <f t="shared" si="52"/>
        <v>yes</v>
      </c>
      <c r="U41" s="110" t="str">
        <f t="shared" si="52"/>
        <v>yes</v>
      </c>
      <c r="V41" s="802"/>
    </row>
    <row r="42" spans="1:22">
      <c r="B42" t="s">
        <v>200</v>
      </c>
      <c r="C42" s="125">
        <f t="shared" ref="C42:J42" si="53">SUM(C36:C40)</f>
        <v>0</v>
      </c>
      <c r="D42" s="125">
        <f t="shared" si="53"/>
        <v>0</v>
      </c>
      <c r="E42" s="125">
        <f t="shared" si="53"/>
        <v>423</v>
      </c>
      <c r="F42" s="126">
        <f t="shared" si="53"/>
        <v>3000</v>
      </c>
      <c r="G42" s="126">
        <f t="shared" si="53"/>
        <v>3100</v>
      </c>
      <c r="H42" s="126">
        <f t="shared" si="53"/>
        <v>8543</v>
      </c>
      <c r="I42" s="126">
        <f t="shared" si="53"/>
        <v>4384.5</v>
      </c>
      <c r="J42" s="799">
        <f t="shared" si="53"/>
        <v>3510</v>
      </c>
      <c r="K42" s="801"/>
      <c r="M42" t="s">
        <v>200</v>
      </c>
      <c r="N42" s="125">
        <f t="shared" ref="N42:U42" si="54">SUM(N36:N40)</f>
        <v>0</v>
      </c>
      <c r="O42" s="125">
        <f t="shared" si="54"/>
        <v>0</v>
      </c>
      <c r="P42" s="125">
        <f t="shared" si="54"/>
        <v>423</v>
      </c>
      <c r="Q42" s="126">
        <f t="shared" si="54"/>
        <v>3000</v>
      </c>
      <c r="R42" s="126">
        <f t="shared" si="54"/>
        <v>3100</v>
      </c>
      <c r="S42" s="126">
        <f t="shared" si="54"/>
        <v>6816</v>
      </c>
      <c r="T42" s="126">
        <f t="shared" si="54"/>
        <v>3181</v>
      </c>
      <c r="U42" s="799">
        <f t="shared" si="54"/>
        <v>3181</v>
      </c>
      <c r="V42" s="801"/>
    </row>
    <row r="43" spans="1:22">
      <c r="B43" s="129"/>
      <c r="C43" s="130"/>
      <c r="D43" s="130"/>
      <c r="E43" s="130"/>
      <c r="F43" s="131"/>
      <c r="G43" s="130"/>
      <c r="H43" s="130"/>
      <c r="M43" s="129"/>
      <c r="N43" s="130"/>
      <c r="O43" s="130"/>
      <c r="P43" s="130"/>
      <c r="Q43" s="131"/>
      <c r="R43" s="130"/>
      <c r="S43" s="130"/>
    </row>
    <row r="44" spans="1:22" ht="15">
      <c r="A44" t="s">
        <v>36</v>
      </c>
      <c r="B44" s="122" t="s">
        <v>201</v>
      </c>
      <c r="C44" s="132"/>
      <c r="D44" s="132"/>
      <c r="E44" s="132"/>
      <c r="F44" s="132"/>
      <c r="G44" s="132"/>
      <c r="H44" s="132"/>
      <c r="I44" s="26"/>
      <c r="M44" s="122" t="s">
        <v>201</v>
      </c>
      <c r="N44" s="132"/>
      <c r="O44" s="132"/>
      <c r="P44" s="132"/>
      <c r="Q44" s="132"/>
      <c r="R44" s="132"/>
      <c r="S44" s="132"/>
      <c r="T44" s="26"/>
    </row>
    <row r="45" spans="1:22" s="5" customFormat="1" ht="12">
      <c r="B45" s="30" t="s">
        <v>202</v>
      </c>
      <c r="C45" s="31">
        <v>2022</v>
      </c>
      <c r="D45" s="31">
        <v>2023</v>
      </c>
      <c r="E45" s="31">
        <v>2024</v>
      </c>
      <c r="F45" s="31">
        <v>2025</v>
      </c>
      <c r="G45" s="31">
        <v>2026</v>
      </c>
      <c r="H45" s="31">
        <v>2027</v>
      </c>
      <c r="I45" s="31">
        <v>2028</v>
      </c>
      <c r="J45" s="31">
        <v>2029</v>
      </c>
      <c r="M45" s="30" t="s">
        <v>202</v>
      </c>
      <c r="N45" s="31">
        <v>2022</v>
      </c>
      <c r="O45" s="31">
        <v>2023</v>
      </c>
      <c r="P45" s="31">
        <v>2024</v>
      </c>
      <c r="Q45" s="31">
        <v>2025</v>
      </c>
      <c r="R45" s="31">
        <v>2026</v>
      </c>
      <c r="S45" s="31">
        <v>2027</v>
      </c>
      <c r="T45" s="31">
        <v>2028</v>
      </c>
      <c r="U45" s="31">
        <v>2029</v>
      </c>
    </row>
    <row r="46" spans="1:22">
      <c r="B46" s="5" t="s">
        <v>203</v>
      </c>
      <c r="C46" s="33">
        <f t="shared" ref="C46:H46" si="55">C30</f>
        <v>3997.3994000000002</v>
      </c>
      <c r="D46" s="133">
        <f t="shared" si="55"/>
        <v>2798.6922</v>
      </c>
      <c r="E46" s="134">
        <f t="shared" si="55"/>
        <v>2297.4321999999997</v>
      </c>
      <c r="F46" s="33">
        <f t="shared" si="55"/>
        <v>2130.5254</v>
      </c>
      <c r="G46" s="33">
        <f t="shared" si="55"/>
        <v>2641.2</v>
      </c>
      <c r="H46" s="33">
        <f t="shared" si="55"/>
        <v>2840</v>
      </c>
      <c r="I46" s="33">
        <f t="shared" ref="I46:J46" si="56">I30</f>
        <v>2840</v>
      </c>
      <c r="J46" s="33">
        <f t="shared" si="56"/>
        <v>1988</v>
      </c>
      <c r="M46" s="5" t="s">
        <v>203</v>
      </c>
      <c r="N46" s="33">
        <f t="shared" ref="N46:U46" si="57">N30</f>
        <v>3997.3994000000002</v>
      </c>
      <c r="O46" s="133">
        <f t="shared" si="57"/>
        <v>2798.6922</v>
      </c>
      <c r="P46" s="134">
        <f t="shared" si="57"/>
        <v>2297.4321999999997</v>
      </c>
      <c r="Q46" s="33">
        <f t="shared" si="57"/>
        <v>2130.5254</v>
      </c>
      <c r="R46" s="33">
        <f t="shared" si="57"/>
        <v>2645.8008</v>
      </c>
      <c r="S46" s="33">
        <f t="shared" si="57"/>
        <v>2129.9999999999995</v>
      </c>
      <c r="T46" s="33">
        <f t="shared" si="57"/>
        <v>1988</v>
      </c>
      <c r="U46" s="33">
        <f t="shared" si="57"/>
        <v>1988</v>
      </c>
    </row>
    <row r="47" spans="1:22">
      <c r="B47" s="5" t="s">
        <v>204</v>
      </c>
      <c r="C47" s="5">
        <v>0</v>
      </c>
      <c r="D47" s="33">
        <f>C46</f>
        <v>3997.3994000000002</v>
      </c>
      <c r="E47" s="133">
        <f>D46</f>
        <v>2798.6922</v>
      </c>
      <c r="F47" s="135">
        <f>IF(E47&gt;E36,E46,E48-E36)</f>
        <v>2297.4321999999997</v>
      </c>
      <c r="G47" s="135">
        <f>IF(F47&gt;F36,F46,F48-F36)</f>
        <v>2130.5254</v>
      </c>
      <c r="H47" s="135">
        <f>IF(G47&gt;G36,G46,G48-G36)</f>
        <v>2641.2</v>
      </c>
      <c r="I47" s="135">
        <f t="shared" ref="I47:J47" si="58">IF(H47&gt;H36,H46,H48-H36)</f>
        <v>142.19999999999982</v>
      </c>
      <c r="J47" s="135">
        <f t="shared" si="58"/>
        <v>241.69999999999982</v>
      </c>
      <c r="M47" s="5" t="s">
        <v>204</v>
      </c>
      <c r="N47" s="5">
        <v>0</v>
      </c>
      <c r="O47" s="33">
        <f>N46</f>
        <v>3997.3994000000002</v>
      </c>
      <c r="P47" s="133">
        <f>O46</f>
        <v>2798.6922</v>
      </c>
      <c r="Q47" s="135">
        <f>IF(P47&gt;P36,P46,P48-P36)</f>
        <v>2297.4321999999997</v>
      </c>
      <c r="R47" s="135">
        <f>IF(Q47&gt;Q36,Q46,Q48-Q36)</f>
        <v>2130.5254</v>
      </c>
      <c r="S47" s="135">
        <f>IF(R47&gt;R36,R46,R48-R36)</f>
        <v>2645.8008</v>
      </c>
      <c r="T47" s="135">
        <f t="shared" ref="T47" si="59">IF(S47&gt;S36,S46,S48-S36)</f>
        <v>515.80079999999907</v>
      </c>
      <c r="U47" s="135">
        <f t="shared" ref="U47" si="60">IF(T47&gt;T36,T46,T48-T36)</f>
        <v>515.80079999999907</v>
      </c>
    </row>
    <row r="48" spans="1:22">
      <c r="B48" s="136" t="s">
        <v>205</v>
      </c>
      <c r="C48" s="108">
        <f t="shared" ref="C48:H48" si="61">SUM(C46:C47)</f>
        <v>3997.3994000000002</v>
      </c>
      <c r="D48" s="108">
        <f t="shared" si="61"/>
        <v>6796.0915999999997</v>
      </c>
      <c r="E48" s="108">
        <f t="shared" si="61"/>
        <v>5096.1243999999997</v>
      </c>
      <c r="F48" s="108">
        <f t="shared" si="61"/>
        <v>4427.9575999999997</v>
      </c>
      <c r="G48" s="108">
        <f>ROUNDDOWN(SUM(G46:G47),0)</f>
        <v>4771</v>
      </c>
      <c r="H48" s="108">
        <f t="shared" si="61"/>
        <v>5481.2</v>
      </c>
      <c r="I48" s="108">
        <f t="shared" ref="I48:J48" si="62">SUM(I46:I47)</f>
        <v>2982.2</v>
      </c>
      <c r="J48" s="108">
        <f t="shared" si="62"/>
        <v>2229.6999999999998</v>
      </c>
      <c r="M48" s="136" t="s">
        <v>205</v>
      </c>
      <c r="N48" s="108">
        <f t="shared" ref="N48:Q48" si="63">SUM(N46:N47)</f>
        <v>3997.3994000000002</v>
      </c>
      <c r="O48" s="108">
        <f t="shared" si="63"/>
        <v>6796.0915999999997</v>
      </c>
      <c r="P48" s="108">
        <f t="shared" si="63"/>
        <v>5096.1243999999997</v>
      </c>
      <c r="Q48" s="108">
        <f t="shared" si="63"/>
        <v>4427.9575999999997</v>
      </c>
      <c r="R48" s="108">
        <f>ROUNDDOWN(SUM(R46:R47),0)</f>
        <v>4776</v>
      </c>
      <c r="S48" s="108">
        <f t="shared" ref="S48:U48" si="64">SUM(S46:S47)</f>
        <v>4775.8007999999991</v>
      </c>
      <c r="T48" s="108">
        <f t="shared" si="64"/>
        <v>2503.8007999999991</v>
      </c>
      <c r="U48" s="108">
        <f t="shared" si="64"/>
        <v>2503.8007999999991</v>
      </c>
    </row>
    <row r="49" spans="1:21" ht="14.45" customHeight="1">
      <c r="B49" s="109" t="s">
        <v>206</v>
      </c>
      <c r="C49" s="33">
        <f t="shared" ref="C49:H49" si="65">C31</f>
        <v>1998.6997000000001</v>
      </c>
      <c r="D49" s="133">
        <f t="shared" si="65"/>
        <v>1399.3461</v>
      </c>
      <c r="E49" s="134">
        <f t="shared" si="65"/>
        <v>1148.7160999999999</v>
      </c>
      <c r="F49" s="33">
        <f t="shared" si="65"/>
        <v>1065.2627</v>
      </c>
      <c r="G49" s="33">
        <f t="shared" si="65"/>
        <v>1320.6</v>
      </c>
      <c r="H49" s="33">
        <f t="shared" si="65"/>
        <v>1420</v>
      </c>
      <c r="I49" s="33">
        <f t="shared" ref="I49:J49" si="66">I31</f>
        <v>1420</v>
      </c>
      <c r="J49" s="33">
        <f t="shared" si="66"/>
        <v>994</v>
      </c>
      <c r="M49" s="109" t="s">
        <v>206</v>
      </c>
      <c r="N49" s="33">
        <f t="shared" ref="N49:U49" si="67">N31</f>
        <v>1998.6997000000001</v>
      </c>
      <c r="O49" s="133">
        <f t="shared" si="67"/>
        <v>1399.3461</v>
      </c>
      <c r="P49" s="134">
        <f t="shared" si="67"/>
        <v>1148.7160999999999</v>
      </c>
      <c r="Q49" s="33">
        <f t="shared" si="67"/>
        <v>1065.2627</v>
      </c>
      <c r="R49" s="33">
        <f t="shared" si="67"/>
        <v>1322.9004</v>
      </c>
      <c r="S49" s="33">
        <f t="shared" si="67"/>
        <v>1064.9999999999998</v>
      </c>
      <c r="T49" s="33">
        <f t="shared" si="67"/>
        <v>994</v>
      </c>
      <c r="U49" s="33">
        <f t="shared" si="67"/>
        <v>994</v>
      </c>
    </row>
    <row r="50" spans="1:21" ht="14.45" customHeight="1">
      <c r="B50" s="5" t="s">
        <v>204</v>
      </c>
      <c r="C50" s="5">
        <v>0</v>
      </c>
      <c r="D50" s="33">
        <f>C49</f>
        <v>1998.6997000000001</v>
      </c>
      <c r="E50" s="133">
        <f t="shared" ref="E50" si="68">D49</f>
        <v>1399.3461</v>
      </c>
      <c r="F50" s="135">
        <f>IF(E50&gt;E38,E49,E51-E38)</f>
        <v>1148.7160999999999</v>
      </c>
      <c r="G50" s="135">
        <f t="shared" ref="G50" si="69">IF(F50&gt;F38,F49,F51-F38)</f>
        <v>1065.2627</v>
      </c>
      <c r="H50" s="135">
        <f>IF(G50&gt;G38,G49,G51-G38)</f>
        <v>1320.6</v>
      </c>
      <c r="I50" s="135">
        <f t="shared" ref="I50:J50" si="70">IF(H50&gt;H38,H49,H51-H38)</f>
        <v>70.599999999999909</v>
      </c>
      <c r="J50" s="135">
        <f t="shared" si="70"/>
        <v>120.59999999999991</v>
      </c>
      <c r="M50" s="5" t="s">
        <v>204</v>
      </c>
      <c r="N50" s="5">
        <v>0</v>
      </c>
      <c r="O50" s="33">
        <f>N49</f>
        <v>1998.6997000000001</v>
      </c>
      <c r="P50" s="133">
        <f t="shared" ref="P50" si="71">O49</f>
        <v>1399.3461</v>
      </c>
      <c r="Q50" s="135">
        <f>IF(P50&gt;P38,P49,P51-P38)</f>
        <v>1148.7160999999999</v>
      </c>
      <c r="R50" s="135">
        <f t="shared" ref="R50" si="72">IF(Q50&gt;Q38,Q49,Q51-Q38)</f>
        <v>1065.2627</v>
      </c>
      <c r="S50" s="135">
        <f>IF(R50&gt;R38,R49,R51-R38)</f>
        <v>1322.9004</v>
      </c>
      <c r="T50" s="135">
        <f t="shared" ref="T50" si="73">IF(S50&gt;S38,S49,S51-S38)</f>
        <v>257.90039999999954</v>
      </c>
      <c r="U50" s="135">
        <f t="shared" ref="U50" si="74">IF(T50&gt;T38,T49,T51-T38)</f>
        <v>257.90039999999954</v>
      </c>
    </row>
    <row r="51" spans="1:21">
      <c r="B51" s="136" t="s">
        <v>207</v>
      </c>
      <c r="C51" s="108">
        <f t="shared" ref="C51:H51" si="75">SUM(C49:C50)</f>
        <v>1998.6997000000001</v>
      </c>
      <c r="D51" s="108">
        <f t="shared" si="75"/>
        <v>3398.0457999999999</v>
      </c>
      <c r="E51" s="108">
        <f t="shared" si="75"/>
        <v>2548.0621999999998</v>
      </c>
      <c r="F51" s="108">
        <f t="shared" si="75"/>
        <v>2213.9787999999999</v>
      </c>
      <c r="G51" s="108">
        <f t="shared" si="75"/>
        <v>2385.8626999999997</v>
      </c>
      <c r="H51" s="108">
        <f t="shared" si="75"/>
        <v>2740.6</v>
      </c>
      <c r="I51" s="108">
        <f t="shared" ref="I51:J51" si="76">SUM(I49:I50)</f>
        <v>1490.6</v>
      </c>
      <c r="J51" s="108">
        <f t="shared" si="76"/>
        <v>1114.5999999999999</v>
      </c>
      <c r="M51" s="136" t="s">
        <v>207</v>
      </c>
      <c r="N51" s="108">
        <f t="shared" ref="N51:U51" si="77">SUM(N49:N50)</f>
        <v>1998.6997000000001</v>
      </c>
      <c r="O51" s="108">
        <f t="shared" si="77"/>
        <v>3398.0457999999999</v>
      </c>
      <c r="P51" s="108">
        <f t="shared" si="77"/>
        <v>2548.0621999999998</v>
      </c>
      <c r="Q51" s="108">
        <f t="shared" si="77"/>
        <v>2213.9787999999999</v>
      </c>
      <c r="R51" s="108">
        <f t="shared" si="77"/>
        <v>2388.1630999999998</v>
      </c>
      <c r="S51" s="108">
        <f t="shared" si="77"/>
        <v>2387.9003999999995</v>
      </c>
      <c r="T51" s="108">
        <f t="shared" si="77"/>
        <v>1251.9003999999995</v>
      </c>
      <c r="U51" s="108">
        <f t="shared" si="77"/>
        <v>1251.9003999999995</v>
      </c>
    </row>
    <row r="52" spans="1:21">
      <c r="B52" s="109" t="s">
        <v>208</v>
      </c>
      <c r="C52" s="33">
        <f t="shared" ref="C52:H52" si="78">C32</f>
        <v>399.73993999999999</v>
      </c>
      <c r="D52" s="133">
        <f t="shared" si="78"/>
        <v>279.86921999999998</v>
      </c>
      <c r="E52" s="134">
        <f t="shared" si="78"/>
        <v>229.74321999999998</v>
      </c>
      <c r="F52" s="33">
        <f t="shared" si="78"/>
        <v>213.05253999999996</v>
      </c>
      <c r="G52" s="33">
        <f t="shared" si="78"/>
        <v>264.11999999999995</v>
      </c>
      <c r="H52" s="33">
        <f t="shared" si="78"/>
        <v>283.99999999999994</v>
      </c>
      <c r="I52" s="33">
        <f t="shared" ref="I52:J52" si="79">I32</f>
        <v>283.99999999999994</v>
      </c>
      <c r="J52" s="33">
        <f t="shared" si="79"/>
        <v>198.8</v>
      </c>
      <c r="M52" s="109" t="s">
        <v>208</v>
      </c>
      <c r="N52" s="33">
        <f t="shared" ref="N52:U52" si="80">N32</f>
        <v>399.73993999999999</v>
      </c>
      <c r="O52" s="133">
        <f t="shared" si="80"/>
        <v>279.86921999999998</v>
      </c>
      <c r="P52" s="134">
        <f t="shared" si="80"/>
        <v>229.74321999999998</v>
      </c>
      <c r="Q52" s="33">
        <f t="shared" si="80"/>
        <v>213.05253999999996</v>
      </c>
      <c r="R52" s="33">
        <f t="shared" si="80"/>
        <v>264.58008000000001</v>
      </c>
      <c r="S52" s="33">
        <f t="shared" si="80"/>
        <v>212.99999999999997</v>
      </c>
      <c r="T52" s="33">
        <f t="shared" si="80"/>
        <v>198.8</v>
      </c>
      <c r="U52" s="33">
        <f t="shared" si="80"/>
        <v>198.8</v>
      </c>
    </row>
    <row r="53" spans="1:21">
      <c r="B53" s="5" t="s">
        <v>204</v>
      </c>
      <c r="C53" s="5">
        <v>0</v>
      </c>
      <c r="D53" s="33">
        <f>C52</f>
        <v>399.73993999999999</v>
      </c>
      <c r="E53" s="133">
        <f t="shared" ref="E53" si="81">D52</f>
        <v>279.86921999999998</v>
      </c>
      <c r="F53" s="135">
        <f>IF(E53&gt;E40,E52,E54-E40)</f>
        <v>229.74321999999998</v>
      </c>
      <c r="G53" s="135">
        <f t="shared" ref="G53:H53" si="82">IF(F53&gt;F40,F52,F54-F40)</f>
        <v>213.05253999999996</v>
      </c>
      <c r="H53" s="135">
        <f t="shared" si="82"/>
        <v>264.11999999999995</v>
      </c>
      <c r="I53" s="135">
        <f t="shared" ref="I53" si="83">IF(H53&gt;H40,H52,H54-H40)</f>
        <v>14.119999999999891</v>
      </c>
      <c r="J53" s="135">
        <f t="shared" ref="J53" si="84">IF(I53&gt;I40,I52,I54-I40)</f>
        <v>24.119999999999834</v>
      </c>
      <c r="M53" s="5" t="s">
        <v>204</v>
      </c>
      <c r="N53" s="5">
        <v>0</v>
      </c>
      <c r="O53" s="33">
        <f>N52</f>
        <v>399.73993999999999</v>
      </c>
      <c r="P53" s="133">
        <f t="shared" ref="P53" si="85">O52</f>
        <v>279.86921999999998</v>
      </c>
      <c r="Q53" s="135">
        <f>IF(P53&gt;P40,P52,P54-P40)</f>
        <v>229.74321999999998</v>
      </c>
      <c r="R53" s="135">
        <f t="shared" ref="R53" si="86">IF(Q53&gt;Q40,Q52,Q54-Q40)</f>
        <v>213.05253999999996</v>
      </c>
      <c r="S53" s="135">
        <f t="shared" ref="S53" si="87">IF(R53&gt;R40,R52,R54-R40)</f>
        <v>264.58008000000001</v>
      </c>
      <c r="T53" s="135">
        <f t="shared" ref="T53" si="88">IF(S53&gt;S40,S52,S54-S40)</f>
        <v>51.580079999999953</v>
      </c>
      <c r="U53" s="135">
        <f t="shared" ref="U53" si="89">IF(T53&gt;T40,T52,T54-T40)</f>
        <v>51.380079999999964</v>
      </c>
    </row>
    <row r="54" spans="1:21" ht="15" customHeight="1">
      <c r="B54" s="136" t="s">
        <v>209</v>
      </c>
      <c r="C54" s="108">
        <f t="shared" ref="C54:H54" si="90">SUM(C52:C53)</f>
        <v>399.73993999999999</v>
      </c>
      <c r="D54" s="108">
        <f t="shared" si="90"/>
        <v>679.60915999999997</v>
      </c>
      <c r="E54" s="108">
        <f t="shared" si="90"/>
        <v>509.61243999999999</v>
      </c>
      <c r="F54" s="108">
        <f t="shared" si="90"/>
        <v>442.79575999999997</v>
      </c>
      <c r="G54" s="108">
        <f t="shared" si="90"/>
        <v>477.17253999999991</v>
      </c>
      <c r="H54" s="108">
        <f t="shared" si="90"/>
        <v>548.11999999999989</v>
      </c>
      <c r="I54" s="108">
        <f t="shared" ref="I54:J54" si="91">SUM(I52:I53)</f>
        <v>298.11999999999983</v>
      </c>
      <c r="J54" s="108">
        <f t="shared" si="91"/>
        <v>222.91999999999985</v>
      </c>
      <c r="M54" s="136" t="s">
        <v>209</v>
      </c>
      <c r="N54" s="108">
        <f t="shared" ref="N54:U54" si="92">SUM(N52:N53)</f>
        <v>399.73993999999999</v>
      </c>
      <c r="O54" s="108">
        <f t="shared" si="92"/>
        <v>679.60915999999997</v>
      </c>
      <c r="P54" s="108">
        <f t="shared" si="92"/>
        <v>509.61243999999999</v>
      </c>
      <c r="Q54" s="108">
        <f t="shared" si="92"/>
        <v>442.79575999999997</v>
      </c>
      <c r="R54" s="108">
        <f t="shared" si="92"/>
        <v>477.63261999999997</v>
      </c>
      <c r="S54" s="108">
        <f t="shared" si="92"/>
        <v>477.58007999999995</v>
      </c>
      <c r="T54" s="108">
        <f t="shared" si="92"/>
        <v>250.38007999999996</v>
      </c>
      <c r="U54" s="108">
        <f t="shared" si="92"/>
        <v>250.18007999999998</v>
      </c>
    </row>
    <row r="55" spans="1:21">
      <c r="B55" s="136" t="s">
        <v>210</v>
      </c>
      <c r="C55" s="108">
        <f t="shared" ref="C55:H55" si="93">C48+C51+C54</f>
        <v>6395.8390400000008</v>
      </c>
      <c r="D55" s="108">
        <f t="shared" si="93"/>
        <v>10873.74656</v>
      </c>
      <c r="E55" s="108">
        <f t="shared" si="93"/>
        <v>8153.799039999999</v>
      </c>
      <c r="F55" s="108">
        <f t="shared" si="93"/>
        <v>7084.7321599999996</v>
      </c>
      <c r="G55" s="108">
        <f t="shared" si="93"/>
        <v>7634.0352399999992</v>
      </c>
      <c r="H55" s="108">
        <f t="shared" si="93"/>
        <v>8769.9199999999983</v>
      </c>
      <c r="I55" s="108">
        <f t="shared" ref="I55:J55" si="94">I48+I51+I54</f>
        <v>4770.9199999999992</v>
      </c>
      <c r="J55" s="108">
        <f t="shared" si="94"/>
        <v>3567.2199999999993</v>
      </c>
      <c r="M55" s="136" t="s">
        <v>210</v>
      </c>
      <c r="N55" s="108">
        <f t="shared" ref="N55:U55" si="95">N48+N51+N54</f>
        <v>6395.8390400000008</v>
      </c>
      <c r="O55" s="108">
        <f t="shared" si="95"/>
        <v>10873.74656</v>
      </c>
      <c r="P55" s="108">
        <f t="shared" si="95"/>
        <v>8153.799039999999</v>
      </c>
      <c r="Q55" s="108">
        <f t="shared" si="95"/>
        <v>7084.7321599999996</v>
      </c>
      <c r="R55" s="108">
        <f t="shared" si="95"/>
        <v>7641.7957200000001</v>
      </c>
      <c r="S55" s="108">
        <f t="shared" si="95"/>
        <v>7641.2812799999983</v>
      </c>
      <c r="T55" s="108">
        <f t="shared" si="95"/>
        <v>4006.0812799999985</v>
      </c>
      <c r="U55" s="108">
        <f t="shared" si="95"/>
        <v>4005.8812799999987</v>
      </c>
    </row>
    <row r="56" spans="1:21">
      <c r="B56" s="137" t="s">
        <v>211</v>
      </c>
      <c r="C56" s="138"/>
      <c r="D56" s="138"/>
      <c r="E56" s="138"/>
      <c r="F56" s="138">
        <f>F46+F49+F52</f>
        <v>3408.8406399999999</v>
      </c>
      <c r="G56" s="138"/>
      <c r="H56" s="138"/>
      <c r="I56" s="138"/>
      <c r="J56" s="138"/>
      <c r="M56" s="137" t="s">
        <v>211</v>
      </c>
      <c r="N56" s="138"/>
      <c r="O56" s="138"/>
      <c r="P56" s="138"/>
      <c r="Q56" s="138">
        <f>Q46+Q49+Q52</f>
        <v>3408.8406399999999</v>
      </c>
      <c r="R56" s="138"/>
      <c r="S56" s="138"/>
      <c r="T56" s="138"/>
      <c r="U56" s="138"/>
    </row>
    <row r="57" spans="1:21">
      <c r="B57" s="5"/>
      <c r="C57" s="5"/>
      <c r="D57" s="5"/>
      <c r="E57" s="5"/>
      <c r="F57" s="5"/>
      <c r="G57" s="5"/>
      <c r="H57" s="5"/>
      <c r="I57" s="5"/>
      <c r="J57" s="5"/>
      <c r="M57" s="5"/>
      <c r="N57" s="5"/>
      <c r="O57" s="5"/>
      <c r="P57" s="5"/>
      <c r="Q57" s="5"/>
      <c r="R57" s="5"/>
      <c r="S57" s="5"/>
      <c r="T57" s="5"/>
      <c r="U57" s="5"/>
    </row>
    <row r="58" spans="1:21">
      <c r="A58" t="s">
        <v>36</v>
      </c>
      <c r="B58" s="109" t="s">
        <v>212</v>
      </c>
      <c r="C58" s="32">
        <f>C47+C50+C53</f>
        <v>0</v>
      </c>
      <c r="D58" s="32">
        <f>D47+D50+D53</f>
        <v>6395.8390400000008</v>
      </c>
      <c r="E58" s="32">
        <f>E47+E50+E53</f>
        <v>4477.9075199999997</v>
      </c>
      <c r="F58" s="32">
        <f t="shared" ref="F58" si="96">F47+F50+F53</f>
        <v>3675.8915199999997</v>
      </c>
      <c r="G58" s="32">
        <f>G47+G50+G53</f>
        <v>3408.8406399999999</v>
      </c>
      <c r="H58" s="32">
        <f>H47+H50+H53</f>
        <v>4225.92</v>
      </c>
      <c r="I58" s="32">
        <f t="shared" ref="I58:J58" si="97">I47+I50+I53</f>
        <v>226.91999999999962</v>
      </c>
      <c r="J58" s="32">
        <f t="shared" si="97"/>
        <v>386.41999999999956</v>
      </c>
      <c r="M58" s="109" t="s">
        <v>212</v>
      </c>
      <c r="N58" s="32">
        <f>N47+N50+N53</f>
        <v>0</v>
      </c>
      <c r="O58" s="32">
        <f>O47+O50+O53</f>
        <v>6395.8390400000008</v>
      </c>
      <c r="P58" s="32">
        <f>P47+P50+P53</f>
        <v>4477.9075199999997</v>
      </c>
      <c r="Q58" s="32">
        <f t="shared" ref="Q58" si="98">Q47+Q50+Q53</f>
        <v>3675.8915199999997</v>
      </c>
      <c r="R58" s="32">
        <f>R47+R50+R53</f>
        <v>3408.8406399999999</v>
      </c>
      <c r="S58" s="32">
        <f>S47+S50+S53</f>
        <v>4233.2812800000002</v>
      </c>
      <c r="T58" s="32">
        <f t="shared" ref="T58:U58" si="99">T47+T50+T53</f>
        <v>825.28127999999856</v>
      </c>
      <c r="U58" s="32">
        <f t="shared" si="99"/>
        <v>825.08127999999851</v>
      </c>
    </row>
    <row r="59" spans="1:21">
      <c r="B59" s="109" t="s">
        <v>213</v>
      </c>
      <c r="C59" s="74">
        <f>IF(C47-C36&gt;0,C47-C36,0)+IF(C50-C38&gt;0,C50-C38,0)+IF(C53-C40&gt;0,C53-C40,0)</f>
        <v>0</v>
      </c>
      <c r="D59" s="139">
        <f>IF(D47-D36&gt;0,D47-D36,0)+IF(D50-D38&gt;0,D50-D38,0)+IF(D53-D40&gt;0,D53-D40,0)</f>
        <v>6395.8390400000008</v>
      </c>
      <c r="E59" s="135">
        <f>IF(E47-E36&gt;0,E47-E36,0)+IF(E50-E38&gt;0,E50-E38,0)+IF(E53-E40&gt;0,E53-E40,0)</f>
        <v>4054.9075200000002</v>
      </c>
      <c r="F59" s="135">
        <f>IF(F47-F36&gt;0,F47-F36,0)+IF(F50-F38&gt;0,F50-F38,0)+IF(F53-F40&gt;0,F53-F40,0)</f>
        <v>675.89151999999956</v>
      </c>
      <c r="G59" s="135">
        <f>IF(G47-G36&gt;0,G47-G36,0)+IF(G50-G38&gt;0,G50-G38,0)+IF(G53-G40&gt;0,G53-G40,0)</f>
        <v>308.84063999999995</v>
      </c>
      <c r="H59" s="135">
        <f t="shared" ref="H59:J59" si="100">IF(H47-H36&gt;0,H47-H36,0)+IF(H50-H38&gt;0,H50-H38,0)+IF(H53-H40&gt;0,H53-H40,0)</f>
        <v>0</v>
      </c>
      <c r="I59" s="135">
        <f t="shared" si="100"/>
        <v>0</v>
      </c>
      <c r="J59" s="135">
        <f t="shared" si="100"/>
        <v>0</v>
      </c>
      <c r="M59" s="109" t="s">
        <v>213</v>
      </c>
      <c r="N59" s="74">
        <f>IF(N47-N36&gt;0,N47-N36,0)+IF(N50-N38&gt;0,N50-N38,0)+IF(N53-N40&gt;0,N53-N40,0)</f>
        <v>0</v>
      </c>
      <c r="O59" s="139">
        <f>IF(O47-O36&gt;0,O47-O36,0)+IF(O50-O38&gt;0,O50-O38,0)+IF(O53-O40&gt;0,O53-O40,0)</f>
        <v>6395.8390400000008</v>
      </c>
      <c r="P59" s="135">
        <f>IF(P47-P36&gt;0,P47-P36,0)+IF(P50-P38&gt;0,P50-P38,0)+IF(P53-P40&gt;0,P53-P40,0)</f>
        <v>4054.9075200000002</v>
      </c>
      <c r="Q59" s="135">
        <f>IF(Q47-Q36&gt;0,Q47-Q36,0)+IF(Q50-Q38&gt;0,Q50-Q38,0)+IF(Q53-Q40&gt;0,Q53-Q40,0)</f>
        <v>675.89151999999956</v>
      </c>
      <c r="R59" s="135">
        <f>IF(R47-R36&gt;0,R47-R36,0)+IF(R50-R38&gt;0,R50-R38,0)+IF(R53-R40&gt;0,R53-R40,0)</f>
        <v>308.84063999999995</v>
      </c>
      <c r="S59" s="135">
        <f t="shared" ref="S59:U59" si="101">IF(S47-S36&gt;0,S47-S36,0)+IF(S50-S38&gt;0,S50-S38,0)+IF(S53-S40&gt;0,S53-S40,0)</f>
        <v>0</v>
      </c>
      <c r="T59" s="135">
        <f t="shared" si="101"/>
        <v>0</v>
      </c>
      <c r="U59" s="135">
        <f t="shared" si="101"/>
        <v>0</v>
      </c>
    </row>
    <row r="60" spans="1:21">
      <c r="B60" s="109"/>
      <c r="C60" s="74"/>
      <c r="D60" s="140"/>
      <c r="E60" s="74">
        <f>E59+E53+E50+E47</f>
        <v>8532.8150399999995</v>
      </c>
      <c r="F60" s="74">
        <f>F59+F53+F50+F47</f>
        <v>4351.7830399999984</v>
      </c>
      <c r="G60" s="74">
        <f t="shared" ref="G60:J60" si="102">G59+G53+G50+G47</f>
        <v>3717.6812799999998</v>
      </c>
      <c r="H60" s="74">
        <f t="shared" si="102"/>
        <v>4225.92</v>
      </c>
      <c r="I60" s="74">
        <f t="shared" si="102"/>
        <v>226.91999999999962</v>
      </c>
      <c r="J60" s="74">
        <f t="shared" si="102"/>
        <v>386.41999999999956</v>
      </c>
      <c r="M60" s="109"/>
      <c r="N60" s="74"/>
      <c r="O60" s="140"/>
      <c r="P60" s="74">
        <f>P59+P53+P50+P47</f>
        <v>8532.8150399999995</v>
      </c>
      <c r="Q60" s="74">
        <f>Q59+Q53+Q50+Q47</f>
        <v>4351.7830399999984</v>
      </c>
      <c r="R60" s="74">
        <f t="shared" ref="R60:U60" si="103">R59+R53+R50+R47</f>
        <v>3717.6812799999998</v>
      </c>
      <c r="S60" s="74">
        <f t="shared" si="103"/>
        <v>4233.2812800000002</v>
      </c>
      <c r="T60" s="74">
        <f t="shared" si="103"/>
        <v>825.28127999999856</v>
      </c>
      <c r="U60" s="74">
        <f t="shared" si="103"/>
        <v>825.08127999999851</v>
      </c>
    </row>
    <row r="61" spans="1:21">
      <c r="B61" s="137" t="s">
        <v>214</v>
      </c>
      <c r="C61" s="31">
        <v>2022</v>
      </c>
      <c r="D61" s="31">
        <v>2023</v>
      </c>
      <c r="E61" s="31">
        <v>2024</v>
      </c>
      <c r="F61" s="31">
        <v>2025</v>
      </c>
      <c r="G61" s="31">
        <v>2026</v>
      </c>
      <c r="H61" s="31">
        <v>2027</v>
      </c>
      <c r="I61" s="31">
        <v>2028</v>
      </c>
      <c r="J61" s="31">
        <v>2029</v>
      </c>
      <c r="M61" s="137" t="s">
        <v>214</v>
      </c>
      <c r="N61" s="31">
        <v>2022</v>
      </c>
      <c r="O61" s="31">
        <v>2023</v>
      </c>
      <c r="P61" s="31">
        <v>2024</v>
      </c>
      <c r="Q61" s="31">
        <v>2025</v>
      </c>
      <c r="R61" s="31">
        <v>2026</v>
      </c>
      <c r="S61" s="31">
        <v>2027</v>
      </c>
      <c r="T61" s="31">
        <v>2028</v>
      </c>
      <c r="U61" s="31">
        <v>2029</v>
      </c>
    </row>
    <row r="62" spans="1:21">
      <c r="B62" s="5" t="s">
        <v>215</v>
      </c>
      <c r="C62" s="33">
        <f t="shared" ref="C62:H62" si="104">C29</f>
        <v>13591.15796</v>
      </c>
      <c r="D62" s="33">
        <f>D29</f>
        <v>9515.5534800000005</v>
      </c>
      <c r="E62" s="33">
        <f>E29</f>
        <v>7811.269479999999</v>
      </c>
      <c r="F62" s="33">
        <f t="shared" si="104"/>
        <v>7243.7863599999991</v>
      </c>
      <c r="G62" s="33">
        <f t="shared" si="104"/>
        <v>8980.08</v>
      </c>
      <c r="H62" s="33">
        <f t="shared" si="104"/>
        <v>9656</v>
      </c>
      <c r="I62" s="33">
        <f t="shared" ref="I62:J62" si="105">I29</f>
        <v>9656</v>
      </c>
      <c r="J62" s="33">
        <f t="shared" si="105"/>
        <v>6759.2000000000007</v>
      </c>
      <c r="M62" s="5" t="s">
        <v>215</v>
      </c>
      <c r="N62" s="33">
        <f t="shared" ref="N62:O62" si="106">N29</f>
        <v>13591.15796</v>
      </c>
      <c r="O62" s="33">
        <f t="shared" si="106"/>
        <v>9515.5534800000005</v>
      </c>
      <c r="P62" s="33">
        <f>P29</f>
        <v>7811.269479999999</v>
      </c>
      <c r="Q62" s="33">
        <f t="shared" ref="Q62:U62" si="107">Q29</f>
        <v>7243.7863599999991</v>
      </c>
      <c r="R62" s="33">
        <f t="shared" si="107"/>
        <v>8995.7227199999998</v>
      </c>
      <c r="S62" s="33">
        <f t="shared" si="107"/>
        <v>7241.9999999999991</v>
      </c>
      <c r="T62" s="33">
        <f t="shared" si="107"/>
        <v>6759.2000000000007</v>
      </c>
      <c r="U62" s="33">
        <f t="shared" si="107"/>
        <v>6759.2000000000007</v>
      </c>
    </row>
    <row r="63" spans="1:21" ht="13.15" customHeight="1">
      <c r="B63" s="5" t="s">
        <v>216</v>
      </c>
      <c r="C63" s="5"/>
      <c r="D63" s="33">
        <f>C59</f>
        <v>0</v>
      </c>
      <c r="E63" s="133">
        <f t="shared" ref="E63" si="108">D59</f>
        <v>6395.8390400000008</v>
      </c>
      <c r="F63" s="33">
        <f>E59</f>
        <v>4054.9075200000002</v>
      </c>
      <c r="G63" s="33">
        <f>F59</f>
        <v>675.89151999999956</v>
      </c>
      <c r="H63" s="33">
        <f>G59</f>
        <v>308.84063999999995</v>
      </c>
      <c r="I63" s="33">
        <f t="shared" ref="I63:J63" si="109">H59</f>
        <v>0</v>
      </c>
      <c r="J63" s="33">
        <f t="shared" si="109"/>
        <v>0</v>
      </c>
      <c r="M63" s="5" t="s">
        <v>216</v>
      </c>
      <c r="N63" s="5"/>
      <c r="O63" s="33">
        <f>N59</f>
        <v>0</v>
      </c>
      <c r="P63" s="133">
        <f t="shared" ref="P63" si="110">O59</f>
        <v>6395.8390400000008</v>
      </c>
      <c r="Q63" s="33">
        <f>P59</f>
        <v>4054.9075200000002</v>
      </c>
      <c r="R63" s="33">
        <f>Q59</f>
        <v>675.89151999999956</v>
      </c>
      <c r="S63" s="33">
        <f>R59</f>
        <v>308.84063999999995</v>
      </c>
      <c r="T63" s="33">
        <f t="shared" ref="T63" si="111">S59</f>
        <v>0</v>
      </c>
      <c r="U63" s="33">
        <f t="shared" ref="U63" si="112">T59</f>
        <v>0</v>
      </c>
    </row>
    <row r="64" spans="1:21" ht="13.9" customHeight="1">
      <c r="B64" s="107" t="s">
        <v>217</v>
      </c>
      <c r="C64" s="108">
        <f>SUM(C62:C63)</f>
        <v>13591.15796</v>
      </c>
      <c r="D64" s="108">
        <f t="shared" ref="D64:H64" si="113">SUM(D62:D63)</f>
        <v>9515.5534800000005</v>
      </c>
      <c r="E64" s="108">
        <f t="shared" si="113"/>
        <v>14207.10852</v>
      </c>
      <c r="F64" s="108">
        <f t="shared" si="113"/>
        <v>11298.693879999999</v>
      </c>
      <c r="G64" s="108">
        <f t="shared" si="113"/>
        <v>9655.9715199999991</v>
      </c>
      <c r="H64" s="108">
        <f t="shared" si="113"/>
        <v>9964.8406400000003</v>
      </c>
      <c r="I64" s="108">
        <f t="shared" ref="I64:J64" si="114">SUM(I62:I63)</f>
        <v>9656</v>
      </c>
      <c r="J64" s="108">
        <f t="shared" si="114"/>
        <v>6759.2000000000007</v>
      </c>
      <c r="M64" s="107" t="s">
        <v>217</v>
      </c>
      <c r="N64" s="108">
        <f>SUM(N62:N63)</f>
        <v>13591.15796</v>
      </c>
      <c r="O64" s="108">
        <f t="shared" ref="O64:U64" si="115">SUM(O62:O63)</f>
        <v>9515.5534800000005</v>
      </c>
      <c r="P64" s="108">
        <f t="shared" si="115"/>
        <v>14207.10852</v>
      </c>
      <c r="Q64" s="108">
        <f t="shared" si="115"/>
        <v>11298.693879999999</v>
      </c>
      <c r="R64" s="108">
        <f t="shared" si="115"/>
        <v>9671.614239999999</v>
      </c>
      <c r="S64" s="108">
        <f t="shared" si="115"/>
        <v>7550.8406399999994</v>
      </c>
      <c r="T64" s="108">
        <f t="shared" si="115"/>
        <v>6759.2000000000007</v>
      </c>
      <c r="U64" s="108">
        <f t="shared" si="115"/>
        <v>6759.2000000000007</v>
      </c>
    </row>
    <row r="65" spans="1:21">
      <c r="B65" s="5"/>
      <c r="C65" s="5"/>
      <c r="D65" s="5"/>
      <c r="E65" s="5"/>
      <c r="F65" s="5"/>
      <c r="G65" s="5"/>
      <c r="H65" s="5"/>
      <c r="I65" s="5"/>
      <c r="J65" s="5"/>
      <c r="M65" s="5"/>
      <c r="N65" s="5"/>
      <c r="O65" s="5"/>
      <c r="P65" s="5"/>
      <c r="Q65" s="5"/>
      <c r="R65" s="5"/>
      <c r="S65" s="5"/>
      <c r="T65" s="5"/>
      <c r="U65" s="5"/>
    </row>
    <row r="66" spans="1:21">
      <c r="A66" t="s">
        <v>36</v>
      </c>
      <c r="B66" s="30" t="s">
        <v>218</v>
      </c>
      <c r="C66" s="31">
        <v>2022</v>
      </c>
      <c r="D66" s="31">
        <v>2023</v>
      </c>
      <c r="E66" s="31">
        <v>2024</v>
      </c>
      <c r="F66" s="31">
        <v>2025</v>
      </c>
      <c r="G66" s="31">
        <v>2026</v>
      </c>
      <c r="H66" s="31">
        <v>2027</v>
      </c>
      <c r="I66" s="31">
        <v>2028</v>
      </c>
      <c r="J66" s="31">
        <v>2029</v>
      </c>
      <c r="M66" s="30" t="s">
        <v>218</v>
      </c>
      <c r="N66" s="31">
        <v>2022</v>
      </c>
      <c r="O66" s="31">
        <v>2023</v>
      </c>
      <c r="P66" s="31">
        <v>2024</v>
      </c>
      <c r="Q66" s="31">
        <v>2025</v>
      </c>
      <c r="R66" s="31">
        <v>2026</v>
      </c>
      <c r="S66" s="31">
        <v>2027</v>
      </c>
      <c r="T66" s="31">
        <v>2028</v>
      </c>
      <c r="U66" s="31">
        <v>2029</v>
      </c>
    </row>
    <row r="67" spans="1:21">
      <c r="B67" s="5" t="s">
        <v>0</v>
      </c>
      <c r="C67" s="74">
        <v>10885</v>
      </c>
      <c r="D67" s="74">
        <v>9817</v>
      </c>
      <c r="E67" s="33">
        <f>E8</f>
        <v>14207.10852</v>
      </c>
      <c r="F67" s="138"/>
      <c r="G67" s="138"/>
      <c r="H67" s="138"/>
      <c r="I67" s="138"/>
      <c r="J67" s="138"/>
      <c r="M67" s="5" t="s">
        <v>0</v>
      </c>
      <c r="N67" s="74">
        <v>10885</v>
      </c>
      <c r="O67" s="74">
        <v>9817</v>
      </c>
      <c r="P67" s="33">
        <f>P8</f>
        <v>14207.10852</v>
      </c>
      <c r="Q67" s="138"/>
      <c r="R67" s="138"/>
      <c r="S67" s="138"/>
      <c r="T67" s="138"/>
      <c r="U67" s="138"/>
    </row>
    <row r="68" spans="1:21">
      <c r="F68" s="102"/>
    </row>
    <row r="70" spans="1:21">
      <c r="N70" s="141"/>
      <c r="O70" s="141"/>
      <c r="P70" s="141"/>
      <c r="Q70" s="141"/>
      <c r="R70" s="141"/>
      <c r="S70" s="142"/>
      <c r="T70" s="142"/>
    </row>
    <row r="71" spans="1:21">
      <c r="I71" s="2"/>
      <c r="N71" s="143"/>
      <c r="O71" s="144"/>
      <c r="P71" s="144"/>
      <c r="Q71" s="144"/>
      <c r="R71" s="144"/>
      <c r="S71" s="142"/>
      <c r="T71" s="142"/>
    </row>
    <row r="72" spans="1:21" ht="13.15" customHeight="1">
      <c r="N72" s="142"/>
      <c r="O72" s="142"/>
      <c r="P72" s="142"/>
      <c r="Q72" s="142"/>
      <c r="R72" s="142"/>
      <c r="S72" s="142"/>
      <c r="T72" s="142"/>
    </row>
    <row r="73" spans="1:21" ht="13.15" customHeight="1">
      <c r="N73" s="142"/>
      <c r="O73" s="142"/>
      <c r="P73" s="142"/>
      <c r="Q73" s="142"/>
      <c r="R73" s="144"/>
      <c r="S73" s="142"/>
      <c r="T73" s="142"/>
    </row>
    <row r="74" spans="1:21" ht="13.15" customHeight="1">
      <c r="F74" s="2"/>
      <c r="N74" s="142"/>
      <c r="O74" s="142"/>
      <c r="P74" s="142"/>
      <c r="Q74" s="142"/>
      <c r="R74" s="144"/>
      <c r="S74" s="142"/>
      <c r="T74" s="142"/>
    </row>
    <row r="75" spans="1:21" ht="13.15" hidden="1" customHeight="1">
      <c r="B75" s="43" t="s">
        <v>219</v>
      </c>
      <c r="C75" s="124">
        <v>2022</v>
      </c>
      <c r="D75" s="124">
        <v>2023</v>
      </c>
      <c r="E75" s="124">
        <v>2024</v>
      </c>
      <c r="F75" s="124">
        <v>2025</v>
      </c>
      <c r="G75" s="124">
        <v>2026</v>
      </c>
      <c r="H75" s="124">
        <v>2027</v>
      </c>
      <c r="I75" s="124"/>
      <c r="N75" s="142"/>
      <c r="O75" s="142"/>
      <c r="P75" s="142"/>
      <c r="Q75" s="142"/>
      <c r="R75" s="144"/>
      <c r="S75" s="142"/>
      <c r="T75" s="142"/>
    </row>
    <row r="76" spans="1:21" hidden="1">
      <c r="B76" t="s">
        <v>220</v>
      </c>
      <c r="C76" s="4">
        <v>7.0000000000000007E-2</v>
      </c>
      <c r="E76" s="2">
        <f>E8*0.07</f>
        <v>994.49759640000013</v>
      </c>
      <c r="F76" s="2">
        <f>F8*0.07</f>
        <v>790.90857159999996</v>
      </c>
      <c r="G76" s="2">
        <f>G8*0.07</f>
        <v>675.91800639999997</v>
      </c>
      <c r="H76" s="2">
        <f>H8*0.07</f>
        <v>697.53884480000011</v>
      </c>
      <c r="I76" s="2"/>
      <c r="N76" s="141"/>
      <c r="O76" s="142"/>
      <c r="P76" s="142"/>
      <c r="Q76" s="142"/>
      <c r="R76" s="144"/>
      <c r="S76" s="142"/>
      <c r="T76" s="142"/>
    </row>
    <row r="77" spans="1:21" hidden="1">
      <c r="B77" t="s">
        <v>221</v>
      </c>
      <c r="C77" s="4">
        <f>1-0.07*2</f>
        <v>0.86</v>
      </c>
      <c r="E77" s="2">
        <f>E8*$C77</f>
        <v>12218.113327199999</v>
      </c>
      <c r="F77" s="2">
        <f>F8*$C77</f>
        <v>9716.876736799999</v>
      </c>
      <c r="G77" s="2">
        <f>G8*$C77</f>
        <v>8304.1355071999988</v>
      </c>
      <c r="H77" s="2">
        <f>H8*$C77</f>
        <v>8569.7629503999997</v>
      </c>
      <c r="I77" s="2"/>
    </row>
    <row r="78" spans="1:21" hidden="1">
      <c r="C78" s="4"/>
      <c r="E78" s="2">
        <f>SUM(E76:E77)</f>
        <v>13212.610923599999</v>
      </c>
      <c r="F78" s="2">
        <f t="shared" ref="F78:H78" si="116">SUM(F76:F77)</f>
        <v>10507.785308399998</v>
      </c>
      <c r="G78" s="2">
        <f t="shared" si="116"/>
        <v>8980.053513599998</v>
      </c>
      <c r="H78" s="2">
        <f t="shared" si="116"/>
        <v>9267.3017951999991</v>
      </c>
      <c r="I78" s="2"/>
    </row>
    <row r="79" spans="1:21" ht="15" hidden="1">
      <c r="B79" s="43" t="s">
        <v>222</v>
      </c>
      <c r="C79" s="4"/>
    </row>
    <row r="80" spans="1:21" hidden="1">
      <c r="B80" t="s">
        <v>220</v>
      </c>
      <c r="C80" s="4">
        <v>7.0000000000000007E-2</v>
      </c>
      <c r="E80" s="2">
        <f t="shared" ref="E80:H81" si="117">E$9*$C80</f>
        <v>356.72870800000004</v>
      </c>
      <c r="F80" s="2">
        <f t="shared" si="117"/>
        <v>309.95703200000003</v>
      </c>
      <c r="G80" s="2">
        <f t="shared" si="117"/>
        <v>333.97</v>
      </c>
      <c r="H80" s="2">
        <f t="shared" si="117"/>
        <v>383.68400000000003</v>
      </c>
      <c r="I80" s="2">
        <f>SUM(F80:H80)</f>
        <v>1027.611032</v>
      </c>
    </row>
    <row r="81" spans="2:9" hidden="1">
      <c r="B81" t="s">
        <v>223</v>
      </c>
      <c r="C81" s="4">
        <f>1-0.07*2</f>
        <v>0.86</v>
      </c>
      <c r="E81" s="2">
        <f t="shared" si="117"/>
        <v>4382.6669839999995</v>
      </c>
      <c r="F81" s="2">
        <f t="shared" si="117"/>
        <v>3808.0435359999997</v>
      </c>
      <c r="G81" s="2">
        <f t="shared" si="117"/>
        <v>4103.0599999999995</v>
      </c>
      <c r="H81" s="2">
        <f t="shared" si="117"/>
        <v>4713.8319999999994</v>
      </c>
      <c r="I81" s="2">
        <f>SUM(F81:H81)</f>
        <v>12624.935535999997</v>
      </c>
    </row>
    <row r="82" spans="2:9" hidden="1">
      <c r="E82" s="2">
        <f>E80*2+E81</f>
        <v>5096.1243999999997</v>
      </c>
      <c r="F82" s="2">
        <f t="shared" ref="F82:I82" si="118">F80*2+F81</f>
        <v>4427.9575999999997</v>
      </c>
      <c r="G82" s="2">
        <f t="shared" si="118"/>
        <v>4771</v>
      </c>
      <c r="H82" s="2">
        <f t="shared" si="118"/>
        <v>5481.2</v>
      </c>
      <c r="I82" s="2">
        <f t="shared" si="118"/>
        <v>14680.157599999997</v>
      </c>
    </row>
    <row r="83" spans="2:9" ht="15" hidden="1">
      <c r="B83" s="43" t="s">
        <v>224</v>
      </c>
      <c r="C83" s="4"/>
    </row>
    <row r="84" spans="2:9" hidden="1">
      <c r="B84" t="s">
        <v>220</v>
      </c>
      <c r="C84" s="4">
        <v>7.0000000000000007E-2</v>
      </c>
      <c r="E84" s="2">
        <f t="shared" ref="E84:H85" si="119">E$10*$C84</f>
        <v>178.36435400000002</v>
      </c>
      <c r="F84" s="2">
        <f t="shared" si="119"/>
        <v>154.97851600000001</v>
      </c>
      <c r="G84" s="2">
        <f t="shared" si="119"/>
        <v>167.010389</v>
      </c>
      <c r="H84" s="2">
        <f t="shared" si="119"/>
        <v>191.84200000000001</v>
      </c>
      <c r="I84" s="2">
        <f>SUM(F84:H84)</f>
        <v>513.83090500000003</v>
      </c>
    </row>
    <row r="85" spans="2:9" hidden="1">
      <c r="B85" t="s">
        <v>223</v>
      </c>
      <c r="C85" s="4">
        <f>1-0.07*2</f>
        <v>0.86</v>
      </c>
      <c r="E85" s="2">
        <f t="shared" si="119"/>
        <v>2191.3334919999998</v>
      </c>
      <c r="F85" s="2">
        <f t="shared" si="119"/>
        <v>1904.0217679999998</v>
      </c>
      <c r="G85" s="2">
        <f t="shared" si="119"/>
        <v>2051.8419219999996</v>
      </c>
      <c r="H85" s="2">
        <f t="shared" si="119"/>
        <v>2356.9159999999997</v>
      </c>
      <c r="I85" s="2">
        <f>SUM(F85:H85)</f>
        <v>6312.7796899999994</v>
      </c>
    </row>
    <row r="86" spans="2:9" hidden="1">
      <c r="E86" s="2">
        <f>E84*2+E85</f>
        <v>2548.0621999999998</v>
      </c>
      <c r="F86" s="2">
        <f t="shared" ref="F86:I86" si="120">F84*2+F85</f>
        <v>2213.9787999999999</v>
      </c>
      <c r="G86" s="2">
        <f t="shared" si="120"/>
        <v>2385.8626999999997</v>
      </c>
      <c r="H86" s="2">
        <f t="shared" si="120"/>
        <v>2740.6</v>
      </c>
      <c r="I86" s="2">
        <f t="shared" si="120"/>
        <v>7340.441499999999</v>
      </c>
    </row>
    <row r="87" spans="2:9" hidden="1"/>
    <row r="88" spans="2:9">
      <c r="E88" s="102"/>
      <c r="F88" s="102"/>
    </row>
    <row r="89" spans="2:9">
      <c r="F89" s="102"/>
    </row>
    <row r="92" spans="2:9" hidden="1">
      <c r="B92" t="s">
        <v>225</v>
      </c>
      <c r="C92" s="3"/>
      <c r="D92" s="145">
        <f>C30</f>
        <v>3997.3994000000002</v>
      </c>
      <c r="E92" s="146">
        <f>D30</f>
        <v>2798.6922</v>
      </c>
      <c r="F92" s="147">
        <f>E30</f>
        <v>2297.4321999999997</v>
      </c>
      <c r="G92" s="148">
        <f>F30</f>
        <v>2130.5254</v>
      </c>
    </row>
    <row r="93" spans="2:9" hidden="1">
      <c r="B93" t="s">
        <v>226</v>
      </c>
      <c r="C93" s="3"/>
      <c r="D93" s="3"/>
      <c r="E93" s="145">
        <f>D92</f>
        <v>3997.3994000000002</v>
      </c>
      <c r="F93" s="149">
        <f>E92</f>
        <v>2798.6922</v>
      </c>
      <c r="G93" s="150">
        <f>F92</f>
        <v>2297.4321999999997</v>
      </c>
    </row>
    <row r="94" spans="2:9" hidden="1">
      <c r="B94" t="s">
        <v>227</v>
      </c>
      <c r="C94" s="3">
        <f>C29+C93</f>
        <v>13591.15796</v>
      </c>
      <c r="D94" s="3">
        <f>D29+D93</f>
        <v>9515.5534800000005</v>
      </c>
      <c r="E94" s="3">
        <f>E29+E93</f>
        <v>11808.668879999999</v>
      </c>
      <c r="F94" s="3">
        <f>F29+F93</f>
        <v>10042.47856</v>
      </c>
      <c r="G94" s="3">
        <f>G29+G93</f>
        <v>11277.512199999999</v>
      </c>
    </row>
    <row r="95" spans="2:9" ht="16.5" hidden="1">
      <c r="B95" t="s">
        <v>228</v>
      </c>
      <c r="C95" s="151">
        <f>C30+C92</f>
        <v>3997.3994000000002</v>
      </c>
      <c r="D95" s="151">
        <f>D30+D92</f>
        <v>6796.0915999999997</v>
      </c>
      <c r="E95" s="151">
        <f>E30+E92</f>
        <v>5096.1243999999997</v>
      </c>
      <c r="F95" s="151">
        <f>F30+F92</f>
        <v>4427.9575999999997</v>
      </c>
      <c r="G95" s="151">
        <f>G30+G92</f>
        <v>4771.7253999999994</v>
      </c>
    </row>
    <row r="96" spans="2:9" hidden="1">
      <c r="B96" t="s">
        <v>229</v>
      </c>
      <c r="C96" s="2">
        <f>C94+C95</f>
        <v>17588.557359999999</v>
      </c>
      <c r="D96" s="2">
        <f t="shared" ref="D96:G96" si="121">D94+D95</f>
        <v>16311.64508</v>
      </c>
      <c r="E96" s="2">
        <f t="shared" si="121"/>
        <v>16904.793279999998</v>
      </c>
      <c r="F96" s="2">
        <f t="shared" si="121"/>
        <v>14470.436159999999</v>
      </c>
      <c r="G96" s="2">
        <f t="shared" si="121"/>
        <v>16049.237599999999</v>
      </c>
    </row>
    <row r="102" ht="14.45" customHeight="1"/>
    <row r="103" ht="14.45" customHeight="1"/>
    <row r="104" ht="28.9" customHeight="1"/>
    <row r="105" ht="14.45" customHeight="1"/>
    <row r="106" ht="28.9" customHeight="1"/>
    <row r="107" ht="43.15" customHeight="1"/>
    <row r="108" ht="28.9" customHeight="1"/>
  </sheetData>
  <hyperlinks>
    <hyperlink ref="Z4" r:id="rId1" xr:uid="{FDFCA575-43A5-4B40-8795-18F03C015C3E}"/>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D9A7D-0D0B-4666-83D3-9F620B295044}">
  <sheetPr>
    <pageSetUpPr fitToPage="1"/>
  </sheetPr>
  <dimension ref="A1:U58"/>
  <sheetViews>
    <sheetView workbookViewId="0"/>
  </sheetViews>
  <sheetFormatPr defaultRowHeight="14.25"/>
  <cols>
    <col min="1" max="1" width="4.25" customWidth="1"/>
    <col min="2" max="2" width="19.125" customWidth="1"/>
    <col min="3" max="3" width="9.125" bestFit="1" customWidth="1"/>
    <col min="4" max="4" width="9.125" customWidth="1"/>
    <col min="5" max="5" width="9.875" customWidth="1"/>
    <col min="7" max="7" width="13" customWidth="1"/>
    <col min="8" max="8" width="9.125" customWidth="1"/>
    <col min="9" max="9" width="10.5" bestFit="1" customWidth="1"/>
    <col min="11" max="11" width="13.25" customWidth="1"/>
    <col min="12" max="12" width="3.625" customWidth="1"/>
    <col min="13" max="13" width="10.875" customWidth="1"/>
    <col min="15" max="15" width="8.625" customWidth="1"/>
    <col min="16" max="16" width="7.875" customWidth="1"/>
    <col min="17" max="17" width="8.25" customWidth="1"/>
    <col min="18" max="18" width="9.125" customWidth="1"/>
    <col min="19" max="19" width="10.625" customWidth="1"/>
  </cols>
  <sheetData>
    <row r="1" spans="1:21" ht="26.25">
      <c r="B1" s="25" t="s">
        <v>108</v>
      </c>
      <c r="C1" s="26"/>
      <c r="D1" s="26"/>
      <c r="E1" s="26"/>
      <c r="F1" s="26"/>
      <c r="G1" s="26"/>
      <c r="H1" s="26"/>
      <c r="N1" s="58"/>
      <c r="U1" s="59"/>
    </row>
    <row r="2" spans="1:21" ht="15">
      <c r="B2" s="43"/>
      <c r="N2" s="58"/>
      <c r="U2" s="59"/>
    </row>
    <row r="3" spans="1:21">
      <c r="B3" s="27" t="s">
        <v>95</v>
      </c>
      <c r="C3" s="28"/>
      <c r="D3" s="28"/>
      <c r="E3" s="28"/>
      <c r="F3" s="28"/>
      <c r="G3" s="28"/>
      <c r="H3" s="28"/>
      <c r="U3" s="59"/>
    </row>
    <row r="4" spans="1:21">
      <c r="B4" s="29" t="s">
        <v>112</v>
      </c>
      <c r="U4" s="59"/>
    </row>
    <row r="5" spans="1:21">
      <c r="B5" s="29"/>
      <c r="C5" s="29" t="s">
        <v>4</v>
      </c>
      <c r="D5" s="29" t="s">
        <v>5</v>
      </c>
      <c r="E5" s="29" t="s">
        <v>6</v>
      </c>
      <c r="F5" s="29" t="s">
        <v>3</v>
      </c>
      <c r="G5" s="29"/>
      <c r="H5" s="29"/>
      <c r="O5" s="45"/>
      <c r="U5" s="59"/>
    </row>
    <row r="6" spans="1:21">
      <c r="A6" s="29"/>
      <c r="B6" s="13" t="s">
        <v>320</v>
      </c>
      <c r="C6" s="65"/>
      <c r="D6" s="65"/>
      <c r="E6" s="65"/>
      <c r="F6" s="65"/>
      <c r="G6" s="29"/>
      <c r="H6" s="29"/>
      <c r="O6" s="45"/>
      <c r="U6" s="59"/>
    </row>
    <row r="7" spans="1:21">
      <c r="A7" s="29"/>
      <c r="B7" s="64"/>
      <c r="C7" s="32"/>
      <c r="D7" s="32"/>
      <c r="E7" s="32"/>
      <c r="F7" s="65"/>
      <c r="G7" s="29"/>
      <c r="H7" s="29"/>
      <c r="O7" s="45"/>
      <c r="U7" s="59"/>
    </row>
    <row r="8" spans="1:21">
      <c r="A8" s="29"/>
      <c r="C8" s="97">
        <v>0.4</v>
      </c>
      <c r="D8" s="64" t="s">
        <v>94</v>
      </c>
      <c r="E8" s="65"/>
      <c r="F8" s="65"/>
      <c r="H8" s="29"/>
      <c r="O8" s="45"/>
      <c r="U8" s="59"/>
    </row>
    <row r="9" spans="1:21">
      <c r="A9" s="29"/>
      <c r="C9" s="98">
        <v>2.5359256128486893</v>
      </c>
      <c r="D9" s="64" t="s">
        <v>128</v>
      </c>
      <c r="E9" s="66"/>
      <c r="F9" s="64"/>
      <c r="G9" s="29"/>
      <c r="H9" s="29"/>
      <c r="O9" s="45"/>
      <c r="U9" s="59"/>
    </row>
    <row r="10" spans="1:21">
      <c r="A10" s="29"/>
      <c r="B10" s="64"/>
      <c r="C10" s="67"/>
      <c r="D10" s="67"/>
      <c r="E10" s="67"/>
      <c r="F10" s="64"/>
      <c r="G10" s="29"/>
      <c r="H10" s="29"/>
      <c r="O10" s="45"/>
      <c r="U10" s="59"/>
    </row>
    <row r="11" spans="1:21" ht="16.5">
      <c r="B11" s="61"/>
      <c r="C11" s="69" t="s">
        <v>4</v>
      </c>
      <c r="D11" s="69" t="s">
        <v>4</v>
      </c>
      <c r="E11" s="62"/>
      <c r="F11" s="62"/>
      <c r="I11" s="45"/>
      <c r="O11" s="45"/>
      <c r="U11" s="59"/>
    </row>
    <row r="12" spans="1:21">
      <c r="B12" s="30" t="s">
        <v>37</v>
      </c>
      <c r="C12" s="31" t="s">
        <v>38</v>
      </c>
      <c r="D12" s="31" t="s">
        <v>39</v>
      </c>
      <c r="N12" s="42"/>
      <c r="O12" s="37"/>
      <c r="P12" s="37"/>
      <c r="Q12" s="37"/>
      <c r="U12" s="60"/>
    </row>
    <row r="13" spans="1:21">
      <c r="B13" s="155">
        <v>44835</v>
      </c>
      <c r="C13" s="156">
        <v>42085</v>
      </c>
      <c r="D13" s="156">
        <v>42370</v>
      </c>
      <c r="N13" s="42"/>
      <c r="O13" s="37"/>
      <c r="P13" s="37"/>
      <c r="Q13" s="37"/>
      <c r="U13" s="60"/>
    </row>
    <row r="14" spans="1:21">
      <c r="B14" s="155">
        <v>45200</v>
      </c>
      <c r="C14" s="156">
        <v>42278</v>
      </c>
      <c r="D14" s="156">
        <v>42736</v>
      </c>
      <c r="N14" s="42"/>
      <c r="O14" s="37"/>
      <c r="P14" s="37"/>
      <c r="Q14" s="37"/>
      <c r="U14" s="60"/>
    </row>
    <row r="15" spans="1:21">
      <c r="B15" s="155">
        <v>45566</v>
      </c>
      <c r="C15" s="156">
        <v>42566</v>
      </c>
      <c r="D15" s="156">
        <v>42644</v>
      </c>
      <c r="N15" s="42"/>
      <c r="O15" s="37"/>
      <c r="P15" s="37"/>
      <c r="Q15" s="37"/>
      <c r="U15" s="60"/>
    </row>
    <row r="16" spans="1:21">
      <c r="B16" s="155">
        <v>45931</v>
      </c>
      <c r="C16" s="156">
        <v>42346</v>
      </c>
      <c r="D16" s="156">
        <v>42552</v>
      </c>
      <c r="N16" s="42"/>
      <c r="O16" s="37"/>
      <c r="P16" s="37"/>
      <c r="Q16" s="37"/>
      <c r="U16" s="60"/>
    </row>
    <row r="17" spans="2:21" ht="15">
      <c r="B17" s="43"/>
      <c r="D17" s="2"/>
      <c r="E17" s="2"/>
      <c r="F17" s="2"/>
      <c r="O17" s="38"/>
      <c r="P17" s="38"/>
      <c r="Q17" s="38"/>
      <c r="U17" s="60"/>
    </row>
    <row r="18" spans="2:21" ht="15">
      <c r="B18" s="44" t="s">
        <v>262</v>
      </c>
      <c r="C18" s="28"/>
      <c r="D18" s="28"/>
      <c r="E18" s="28"/>
      <c r="F18" s="28"/>
      <c r="G18" s="101">
        <f>C8*C9</f>
        <v>1.0143702451394758</v>
      </c>
      <c r="H18" s="63"/>
      <c r="I18" s="28"/>
      <c r="J18" s="28"/>
      <c r="K18" s="28"/>
      <c r="M18" s="44" t="s">
        <v>132</v>
      </c>
      <c r="N18" s="28"/>
      <c r="O18" s="28"/>
      <c r="P18" s="28"/>
      <c r="Q18" s="28"/>
      <c r="R18" s="28"/>
      <c r="S18" s="28"/>
      <c r="T18" s="28"/>
    </row>
    <row r="19" spans="2:21" ht="32.450000000000003" customHeight="1">
      <c r="B19" s="45"/>
      <c r="E19" s="46" t="s">
        <v>13</v>
      </c>
      <c r="F19" s="46" t="s">
        <v>14</v>
      </c>
      <c r="G19" s="46" t="s">
        <v>15</v>
      </c>
      <c r="H19" s="46" t="s">
        <v>97</v>
      </c>
      <c r="I19" s="46" t="s">
        <v>17</v>
      </c>
      <c r="J19" s="46"/>
      <c r="K19" s="75" t="s">
        <v>100</v>
      </c>
      <c r="L19" s="1"/>
      <c r="M19" s="43"/>
      <c r="N19" s="89" t="s">
        <v>13</v>
      </c>
      <c r="O19" s="89" t="s">
        <v>14</v>
      </c>
      <c r="P19" s="89" t="s">
        <v>15</v>
      </c>
      <c r="Q19" s="89" t="s">
        <v>16</v>
      </c>
      <c r="R19" s="89" t="s">
        <v>17</v>
      </c>
      <c r="S19" s="89" t="s">
        <v>118</v>
      </c>
    </row>
    <row r="20" spans="2:21" s="49" customFormat="1" ht="50.45" customHeight="1">
      <c r="B20" s="47" t="s">
        <v>9</v>
      </c>
      <c r="C20" s="47" t="s">
        <v>119</v>
      </c>
      <c r="D20" s="72" t="s">
        <v>41</v>
      </c>
      <c r="E20" s="70" t="s">
        <v>127</v>
      </c>
      <c r="F20" s="70" t="s">
        <v>121</v>
      </c>
      <c r="G20" s="70" t="s">
        <v>260</v>
      </c>
      <c r="H20" s="70" t="s">
        <v>117</v>
      </c>
      <c r="I20" s="70" t="s">
        <v>42</v>
      </c>
      <c r="J20" s="48" t="s">
        <v>92</v>
      </c>
      <c r="K20" s="48" t="s">
        <v>96</v>
      </c>
      <c r="L20" s="47"/>
      <c r="M20" s="47" t="s">
        <v>43</v>
      </c>
      <c r="N20" s="47" t="s">
        <v>44</v>
      </c>
      <c r="O20" s="47" t="s">
        <v>136</v>
      </c>
      <c r="P20" s="47" t="s">
        <v>137</v>
      </c>
      <c r="Q20" s="47" t="s">
        <v>139</v>
      </c>
      <c r="R20" s="47" t="s">
        <v>122</v>
      </c>
      <c r="S20" s="47" t="s">
        <v>138</v>
      </c>
      <c r="T20" s="48" t="s">
        <v>79</v>
      </c>
    </row>
    <row r="21" spans="2:21" s="5" customFormat="1" ht="12">
      <c r="B21" s="5" t="s">
        <v>80</v>
      </c>
      <c r="D21" s="73">
        <v>6</v>
      </c>
      <c r="E21" s="71">
        <v>588</v>
      </c>
      <c r="F21" s="71">
        <v>0</v>
      </c>
      <c r="G21" s="71">
        <f t="shared" ref="G21:G51" si="0">D21*G$18</f>
        <v>6.0862214708368549</v>
      </c>
      <c r="H21" s="71">
        <f>SUM(E21:G21)</f>
        <v>594.0862214708369</v>
      </c>
      <c r="I21" s="94">
        <f>H21</f>
        <v>594.0862214708369</v>
      </c>
      <c r="J21" s="5" t="s">
        <v>47</v>
      </c>
      <c r="K21" s="5" t="str">
        <f>_xlfn.XLOOKUP(I21,$T$22:$T$30,$U$22:$U$30,"FY25 and earlier",-1)</f>
        <v>FY25 and earlier</v>
      </c>
      <c r="M21" s="5" t="s">
        <v>48</v>
      </c>
      <c r="O21" s="5">
        <v>130</v>
      </c>
      <c r="P21" s="32"/>
      <c r="Q21" s="32">
        <v>1300</v>
      </c>
      <c r="R21" s="32"/>
      <c r="S21" s="32">
        <v>4470</v>
      </c>
      <c r="T21" s="93">
        <f>S21</f>
        <v>4470</v>
      </c>
    </row>
    <row r="22" spans="2:21" s="5" customFormat="1" ht="12">
      <c r="B22" s="5" t="s">
        <v>81</v>
      </c>
      <c r="C22" s="74">
        <v>2783.0276961812842</v>
      </c>
      <c r="D22" s="73">
        <v>1</v>
      </c>
      <c r="E22" s="71"/>
      <c r="F22" s="71">
        <v>0</v>
      </c>
      <c r="G22" s="71">
        <f t="shared" si="0"/>
        <v>1.0143702451394758</v>
      </c>
      <c r="H22" s="71">
        <f t="shared" ref="H22:H51" si="1">SUM(E22:G22)</f>
        <v>1.0143702451394758</v>
      </c>
      <c r="I22" s="94">
        <f>H22+I21</f>
        <v>595.10059171597641</v>
      </c>
      <c r="J22" s="5" t="s">
        <v>47</v>
      </c>
      <c r="K22" s="5" t="str">
        <f t="shared" ref="K22:K51" si="2">_xlfn.XLOOKUP(I22,$T$22:$T$30,$U$22:$U$30,"FY25 and earlier",-1)</f>
        <v>FY25 and earlier</v>
      </c>
      <c r="M22" s="5" t="s">
        <v>51</v>
      </c>
      <c r="N22" s="32">
        <v>11469.907519999999</v>
      </c>
      <c r="O22" s="33">
        <f>N22*0.07</f>
        <v>802.89352640000004</v>
      </c>
      <c r="P22" s="33"/>
      <c r="Q22" s="32">
        <v>5000</v>
      </c>
      <c r="R22" s="5">
        <v>50</v>
      </c>
      <c r="S22" s="33">
        <f>N22-O22-P22-Q22-R22</f>
        <v>5617.0139935999996</v>
      </c>
      <c r="T22" s="93">
        <f>T21+S22</f>
        <v>10087.0139936</v>
      </c>
      <c r="U22" s="51" t="s">
        <v>51</v>
      </c>
    </row>
    <row r="23" spans="2:21" s="5" customFormat="1" ht="12">
      <c r="B23" s="5" t="s">
        <v>82</v>
      </c>
      <c r="C23" s="74">
        <v>2184.9748216533781</v>
      </c>
      <c r="D23" s="73">
        <v>1</v>
      </c>
      <c r="E23" s="71">
        <v>1286.5180249540292</v>
      </c>
      <c r="F23" s="71">
        <v>0</v>
      </c>
      <c r="G23" s="71">
        <f t="shared" si="0"/>
        <v>1.0143702451394758</v>
      </c>
      <c r="H23" s="71">
        <f t="shared" si="1"/>
        <v>1287.5323951991686</v>
      </c>
      <c r="I23" s="94">
        <f t="shared" ref="I23:I51" si="3">H23+I22</f>
        <v>1882.632986915145</v>
      </c>
      <c r="J23" s="5" t="s">
        <v>47</v>
      </c>
      <c r="K23" s="5" t="str">
        <f t="shared" si="2"/>
        <v>FY25 and earlier</v>
      </c>
      <c r="M23" s="5" t="s">
        <v>53</v>
      </c>
      <c r="N23" s="32">
        <v>12000</v>
      </c>
      <c r="O23" s="33">
        <f t="shared" ref="O23:O26" si="4">N23*0.07</f>
        <v>840.00000000000011</v>
      </c>
      <c r="P23" s="33"/>
      <c r="Q23" s="32">
        <v>3300</v>
      </c>
      <c r="R23" s="32">
        <v>700</v>
      </c>
      <c r="S23" s="33">
        <f t="shared" ref="S23:S30" si="5">N23-O23-P23-Q23-R23</f>
        <v>7160</v>
      </c>
      <c r="T23" s="93">
        <f t="shared" ref="T23:T30" si="6">T22+S23</f>
        <v>17247.013993599998</v>
      </c>
      <c r="U23" s="51" t="s">
        <v>53</v>
      </c>
    </row>
    <row r="24" spans="2:21" s="5" customFormat="1" ht="12">
      <c r="B24" s="5" t="s">
        <v>83</v>
      </c>
      <c r="C24" s="74">
        <v>2340.1657574485944</v>
      </c>
      <c r="D24" s="73">
        <v>3</v>
      </c>
      <c r="E24" s="71">
        <v>1377.8947924258616</v>
      </c>
      <c r="F24" s="71">
        <v>14</v>
      </c>
      <c r="G24" s="71">
        <f t="shared" si="0"/>
        <v>3.0431107354184275</v>
      </c>
      <c r="H24" s="71">
        <f t="shared" si="1"/>
        <v>1394.93790316128</v>
      </c>
      <c r="I24" s="94">
        <f t="shared" si="3"/>
        <v>3277.5708900764248</v>
      </c>
      <c r="J24" s="5" t="s">
        <v>47</v>
      </c>
      <c r="K24" s="5" t="str">
        <f t="shared" si="2"/>
        <v>FY25 and earlier</v>
      </c>
      <c r="M24" s="5" t="s">
        <v>55</v>
      </c>
      <c r="N24" s="32">
        <v>10000</v>
      </c>
      <c r="O24" s="33">
        <f t="shared" si="4"/>
        <v>700.00000000000011</v>
      </c>
      <c r="P24" s="33"/>
      <c r="R24" s="32">
        <v>3500</v>
      </c>
      <c r="S24" s="33">
        <f t="shared" si="5"/>
        <v>5800</v>
      </c>
      <c r="T24" s="93">
        <f t="shared" si="6"/>
        <v>23047.013993599998</v>
      </c>
      <c r="U24" s="51" t="s">
        <v>55</v>
      </c>
    </row>
    <row r="25" spans="2:21" s="5" customFormat="1" ht="12">
      <c r="B25" s="5" t="s">
        <v>84</v>
      </c>
      <c r="C25" s="74">
        <v>6221.8317247167442</v>
      </c>
      <c r="D25" s="73">
        <v>28</v>
      </c>
      <c r="E25" s="71">
        <v>3663.4283300444963</v>
      </c>
      <c r="F25" s="71">
        <v>89</v>
      </c>
      <c r="G25" s="71">
        <f>D25*G$18</f>
        <v>28.402366863905321</v>
      </c>
      <c r="H25" s="71">
        <f t="shared" si="1"/>
        <v>3780.8306969084015</v>
      </c>
      <c r="I25" s="94">
        <f t="shared" si="3"/>
        <v>7058.4015869848263</v>
      </c>
      <c r="J25" s="5" t="s">
        <v>47</v>
      </c>
      <c r="K25" s="5" t="str">
        <f t="shared" si="2"/>
        <v>FY25 and earlier</v>
      </c>
      <c r="M25" s="5" t="s">
        <v>57</v>
      </c>
      <c r="N25" s="32">
        <v>6800</v>
      </c>
      <c r="O25" s="33">
        <f t="shared" si="4"/>
        <v>476.00000000000006</v>
      </c>
      <c r="P25" s="33"/>
      <c r="R25" s="32">
        <v>3500</v>
      </c>
      <c r="S25" s="33">
        <f t="shared" si="5"/>
        <v>2824</v>
      </c>
      <c r="T25" s="93">
        <f t="shared" si="6"/>
        <v>25871.013993599998</v>
      </c>
      <c r="U25" s="51" t="s">
        <v>57</v>
      </c>
    </row>
    <row r="26" spans="2:21" s="5" customFormat="1" ht="12">
      <c r="B26" s="5" t="s">
        <v>85</v>
      </c>
      <c r="C26" s="74">
        <v>3808</v>
      </c>
      <c r="D26" s="73">
        <v>33</v>
      </c>
      <c r="E26" s="71">
        <v>2242.1588525756129</v>
      </c>
      <c r="F26" s="71">
        <v>118</v>
      </c>
      <c r="G26" s="71">
        <f t="shared" si="0"/>
        <v>33.474218089602701</v>
      </c>
      <c r="H26" s="71">
        <f t="shared" si="1"/>
        <v>2393.6330706652157</v>
      </c>
      <c r="I26" s="94">
        <f t="shared" si="3"/>
        <v>9452.0346576500415</v>
      </c>
      <c r="J26" s="5" t="s">
        <v>47</v>
      </c>
      <c r="K26" s="5" t="str">
        <f t="shared" si="2"/>
        <v>FY25 and earlier</v>
      </c>
      <c r="M26" s="5" t="s">
        <v>59</v>
      </c>
      <c r="N26" s="32">
        <v>6800</v>
      </c>
      <c r="O26" s="33">
        <f t="shared" si="4"/>
        <v>476.00000000000006</v>
      </c>
      <c r="P26" s="33"/>
      <c r="R26" s="32">
        <f>R25</f>
        <v>3500</v>
      </c>
      <c r="S26" s="33">
        <f t="shared" si="5"/>
        <v>2824</v>
      </c>
      <c r="T26" s="93">
        <f t="shared" si="6"/>
        <v>28695.013993599998</v>
      </c>
      <c r="U26" s="51" t="s">
        <v>59</v>
      </c>
    </row>
    <row r="27" spans="2:21" s="5" customFormat="1" ht="12">
      <c r="B27" s="5" t="s">
        <v>86</v>
      </c>
      <c r="C27" s="74">
        <v>391</v>
      </c>
      <c r="D27" s="73">
        <v>4</v>
      </c>
      <c r="E27" s="71">
        <v>545.90334928229663</v>
      </c>
      <c r="F27" s="71">
        <v>98</v>
      </c>
      <c r="G27" s="71">
        <f t="shared" si="0"/>
        <v>4.0574809805579033</v>
      </c>
      <c r="H27" s="71">
        <f t="shared" si="1"/>
        <v>647.96083026285453</v>
      </c>
      <c r="I27" s="94">
        <f t="shared" si="3"/>
        <v>10099.995487912896</v>
      </c>
      <c r="J27" s="5" t="s">
        <v>47</v>
      </c>
      <c r="K27" s="5" t="str">
        <f t="shared" si="2"/>
        <v>FY2025</v>
      </c>
      <c r="M27" s="5" t="s">
        <v>61</v>
      </c>
      <c r="N27" s="32">
        <v>6800</v>
      </c>
      <c r="O27" s="33">
        <v>363</v>
      </c>
      <c r="P27" s="33">
        <v>113</v>
      </c>
      <c r="R27" s="32">
        <f t="shared" ref="R27:R30" si="7">R26</f>
        <v>3500</v>
      </c>
      <c r="S27" s="33">
        <f t="shared" si="5"/>
        <v>2824</v>
      </c>
      <c r="T27" s="93">
        <f t="shared" si="6"/>
        <v>31519.013993599998</v>
      </c>
      <c r="U27" s="51" t="s">
        <v>61</v>
      </c>
    </row>
    <row r="28" spans="2:21" s="5" customFormat="1" ht="12">
      <c r="B28" s="5" t="s">
        <v>87</v>
      </c>
      <c r="C28" s="74">
        <v>1415</v>
      </c>
      <c r="D28" s="73">
        <v>20</v>
      </c>
      <c r="E28" s="71">
        <v>1975.5837320574165</v>
      </c>
      <c r="F28" s="71">
        <v>332</v>
      </c>
      <c r="G28" s="71">
        <f t="shared" si="0"/>
        <v>20.287404902789518</v>
      </c>
      <c r="H28" s="71">
        <f t="shared" si="1"/>
        <v>2327.8711369602061</v>
      </c>
      <c r="I28" s="94">
        <f t="shared" si="3"/>
        <v>12427.866624873102</v>
      </c>
      <c r="J28" s="5" t="s">
        <v>47</v>
      </c>
      <c r="K28" s="5" t="str">
        <f t="shared" si="2"/>
        <v>FY2025</v>
      </c>
      <c r="M28" s="5" t="s">
        <v>63</v>
      </c>
      <c r="N28" s="32">
        <v>6800</v>
      </c>
      <c r="O28" s="33"/>
      <c r="P28" s="33">
        <f t="shared" ref="P28:P30" si="8">N28*0.07</f>
        <v>476.00000000000006</v>
      </c>
      <c r="R28" s="32">
        <f t="shared" si="7"/>
        <v>3500</v>
      </c>
      <c r="S28" s="33">
        <f t="shared" si="5"/>
        <v>2824</v>
      </c>
      <c r="T28" s="93">
        <f t="shared" si="6"/>
        <v>34343.013993599998</v>
      </c>
      <c r="U28" s="51" t="s">
        <v>63</v>
      </c>
    </row>
    <row r="29" spans="2:21" s="5" customFormat="1" ht="12">
      <c r="B29" s="5" t="s">
        <v>88</v>
      </c>
      <c r="C29" s="74">
        <v>5334</v>
      </c>
      <c r="D29" s="73">
        <v>79</v>
      </c>
      <c r="E29" s="71">
        <v>7447.182775119617</v>
      </c>
      <c r="F29" s="71">
        <v>1165</v>
      </c>
      <c r="G29" s="71">
        <f t="shared" si="0"/>
        <v>80.135249366018584</v>
      </c>
      <c r="H29" s="71">
        <f t="shared" si="1"/>
        <v>8692.3180244856358</v>
      </c>
      <c r="I29" s="94">
        <f t="shared" si="3"/>
        <v>21120.184649358736</v>
      </c>
      <c r="J29" s="5" t="s">
        <v>78</v>
      </c>
      <c r="K29" s="5" t="str">
        <f t="shared" si="2"/>
        <v>FY2026</v>
      </c>
      <c r="M29" s="5" t="s">
        <v>89</v>
      </c>
      <c r="N29" s="32">
        <v>6800</v>
      </c>
      <c r="O29" s="33"/>
      <c r="P29" s="33">
        <f t="shared" si="8"/>
        <v>476.00000000000006</v>
      </c>
      <c r="R29" s="32">
        <f t="shared" si="7"/>
        <v>3500</v>
      </c>
      <c r="S29" s="33">
        <f t="shared" si="5"/>
        <v>2824</v>
      </c>
      <c r="T29" s="93">
        <f t="shared" si="6"/>
        <v>37167.013993599998</v>
      </c>
      <c r="U29" s="51" t="s">
        <v>89</v>
      </c>
    </row>
    <row r="30" spans="2:21" s="5" customFormat="1" ht="12">
      <c r="B30" s="5" t="s">
        <v>90</v>
      </c>
      <c r="C30" s="74">
        <v>3310</v>
      </c>
      <c r="D30" s="73">
        <v>87</v>
      </c>
      <c r="E30" s="71">
        <v>4621.3301435406702</v>
      </c>
      <c r="F30" s="71">
        <v>782</v>
      </c>
      <c r="G30" s="71">
        <f t="shared" si="0"/>
        <v>88.250211327134394</v>
      </c>
      <c r="H30" s="71">
        <f t="shared" si="1"/>
        <v>5491.580354867805</v>
      </c>
      <c r="I30" s="94">
        <f t="shared" si="3"/>
        <v>26611.765004226541</v>
      </c>
      <c r="K30" s="5" t="str">
        <f t="shared" si="2"/>
        <v>FY2028</v>
      </c>
      <c r="M30" s="5" t="s">
        <v>91</v>
      </c>
      <c r="N30" s="32">
        <v>6800</v>
      </c>
      <c r="O30" s="33"/>
      <c r="P30" s="33">
        <f t="shared" si="8"/>
        <v>476.00000000000006</v>
      </c>
      <c r="R30" s="32">
        <f t="shared" si="7"/>
        <v>3500</v>
      </c>
      <c r="S30" s="33">
        <f t="shared" si="5"/>
        <v>2824</v>
      </c>
      <c r="T30" s="93">
        <f t="shared" si="6"/>
        <v>39991.013993599998</v>
      </c>
      <c r="U30" s="51" t="s">
        <v>91</v>
      </c>
    </row>
    <row r="31" spans="2:21" s="5" customFormat="1" ht="12">
      <c r="B31" s="5" t="s">
        <v>50</v>
      </c>
      <c r="C31" s="74">
        <v>1172</v>
      </c>
      <c r="D31" s="73">
        <v>94</v>
      </c>
      <c r="E31" s="71">
        <v>1198.9144050104385</v>
      </c>
      <c r="F31" s="71">
        <v>0</v>
      </c>
      <c r="G31" s="71">
        <f t="shared" si="0"/>
        <v>95.35080304311073</v>
      </c>
      <c r="H31" s="71">
        <f t="shared" si="1"/>
        <v>1294.2652080535493</v>
      </c>
      <c r="I31" s="94">
        <f t="shared" si="3"/>
        <v>27906.030212280089</v>
      </c>
      <c r="K31" s="5" t="str">
        <f t="shared" si="2"/>
        <v>FY2028</v>
      </c>
      <c r="M31" s="5" t="s">
        <v>3</v>
      </c>
      <c r="O31" s="33">
        <f>SUM(O21:O30)</f>
        <v>3787.8935264000002</v>
      </c>
      <c r="P31" s="33"/>
      <c r="Q31" s="33">
        <f t="shared" ref="Q31" si="9">SUM(Q21:Q30)</f>
        <v>9600</v>
      </c>
      <c r="R31" s="33"/>
      <c r="S31" s="33"/>
      <c r="T31" s="33"/>
    </row>
    <row r="32" spans="2:21" s="5" customFormat="1" ht="12">
      <c r="B32" s="5" t="s">
        <v>52</v>
      </c>
      <c r="C32" s="74">
        <v>3280</v>
      </c>
      <c r="D32" s="73">
        <v>430</v>
      </c>
      <c r="E32" s="71">
        <v>3355.323590814196</v>
      </c>
      <c r="F32" s="71">
        <v>0</v>
      </c>
      <c r="G32" s="71">
        <f t="shared" si="0"/>
        <v>436.1792054099746</v>
      </c>
      <c r="H32" s="71">
        <f t="shared" si="1"/>
        <v>3791.5027962241707</v>
      </c>
      <c r="I32" s="94">
        <f t="shared" si="3"/>
        <v>31697.533008504259</v>
      </c>
      <c r="K32" s="5" t="str">
        <f t="shared" si="2"/>
        <v>FY2030</v>
      </c>
      <c r="N32" s="32"/>
      <c r="O32" s="90" t="s">
        <v>113</v>
      </c>
      <c r="P32" s="33"/>
      <c r="Q32" s="90" t="s">
        <v>114</v>
      </c>
      <c r="R32" s="32"/>
      <c r="S32" s="33"/>
      <c r="T32" s="33"/>
    </row>
    <row r="33" spans="2:21" s="5" customFormat="1" ht="12">
      <c r="B33" s="5" t="s">
        <v>54</v>
      </c>
      <c r="C33" s="74">
        <v>1009</v>
      </c>
      <c r="D33" s="73">
        <v>243</v>
      </c>
      <c r="E33" s="71">
        <v>1032.171189979123</v>
      </c>
      <c r="F33" s="71">
        <v>0</v>
      </c>
      <c r="G33" s="71">
        <f t="shared" si="0"/>
        <v>246.49196956889261</v>
      </c>
      <c r="H33" s="71">
        <f t="shared" si="1"/>
        <v>1278.6631595480158</v>
      </c>
      <c r="I33" s="94">
        <f t="shared" si="3"/>
        <v>32976.196168052273</v>
      </c>
      <c r="K33" s="5" t="str">
        <f t="shared" si="2"/>
        <v>FY2030</v>
      </c>
      <c r="M33" s="95" t="s">
        <v>129</v>
      </c>
      <c r="N33" s="32"/>
      <c r="O33" s="33"/>
      <c r="P33" s="33"/>
      <c r="R33" s="32"/>
      <c r="S33" s="33"/>
      <c r="T33" s="33"/>
    </row>
    <row r="34" spans="2:21" s="5" customFormat="1" ht="12">
      <c r="B34" s="5" t="s">
        <v>56</v>
      </c>
      <c r="C34" s="74">
        <v>1245</v>
      </c>
      <c r="D34" s="73">
        <v>326</v>
      </c>
      <c r="E34" s="71">
        <v>1273.5908141962423</v>
      </c>
      <c r="F34" s="71">
        <v>0</v>
      </c>
      <c r="G34" s="71">
        <f t="shared" si="0"/>
        <v>330.68469991546914</v>
      </c>
      <c r="H34" s="71">
        <f t="shared" si="1"/>
        <v>1604.2755141117113</v>
      </c>
      <c r="I34" s="94">
        <f t="shared" si="3"/>
        <v>34580.471682163981</v>
      </c>
      <c r="K34" s="5" t="str">
        <f t="shared" si="2"/>
        <v>FY2031</v>
      </c>
      <c r="M34" s="95" t="s">
        <v>130</v>
      </c>
    </row>
    <row r="35" spans="2:21" s="5" customFormat="1" ht="12">
      <c r="B35" s="5" t="s">
        <v>58</v>
      </c>
      <c r="C35" s="74">
        <v>696</v>
      </c>
      <c r="D35" s="73">
        <v>358</v>
      </c>
      <c r="E35" s="71">
        <v>302</v>
      </c>
      <c r="F35" s="71">
        <v>0</v>
      </c>
      <c r="G35" s="71">
        <f t="shared" si="0"/>
        <v>363.14454775993232</v>
      </c>
      <c r="H35" s="71">
        <f t="shared" si="1"/>
        <v>665.14454775993227</v>
      </c>
      <c r="I35" s="94">
        <f t="shared" si="3"/>
        <v>35245.616229923915</v>
      </c>
      <c r="K35" s="5" t="str">
        <f t="shared" si="2"/>
        <v>FY2031</v>
      </c>
      <c r="M35" s="77" t="s">
        <v>142</v>
      </c>
      <c r="N35" s="76"/>
      <c r="O35" s="76"/>
      <c r="P35" s="76"/>
      <c r="Q35" s="76"/>
      <c r="R35" s="76"/>
      <c r="S35" s="76"/>
      <c r="T35" s="76"/>
    </row>
    <row r="36" spans="2:21" s="5" customFormat="1" ht="12">
      <c r="B36" s="5" t="s">
        <v>60</v>
      </c>
      <c r="C36" s="74">
        <v>207</v>
      </c>
      <c r="D36" s="73">
        <v>154</v>
      </c>
      <c r="E36" s="71">
        <v>89.818965517241381</v>
      </c>
      <c r="F36" s="71">
        <v>0</v>
      </c>
      <c r="G36" s="71">
        <f t="shared" si="0"/>
        <v>156.21301775147927</v>
      </c>
      <c r="H36" s="71">
        <f t="shared" si="1"/>
        <v>246.03198326872064</v>
      </c>
      <c r="I36" s="94">
        <f t="shared" si="3"/>
        <v>35491.648213192639</v>
      </c>
      <c r="K36" s="5" t="str">
        <f t="shared" si="2"/>
        <v>FY2031</v>
      </c>
      <c r="M36" s="11" t="s">
        <v>110</v>
      </c>
      <c r="N36" s="11"/>
      <c r="O36" s="11"/>
      <c r="P36" s="11"/>
      <c r="Q36" s="11"/>
      <c r="R36" s="11"/>
      <c r="S36" s="11"/>
      <c r="T36" s="11"/>
    </row>
    <row r="37" spans="2:21" s="5" customFormat="1" ht="12">
      <c r="B37" s="5" t="s">
        <v>62</v>
      </c>
      <c r="C37" s="74">
        <v>294</v>
      </c>
      <c r="D37" s="73">
        <v>277</v>
      </c>
      <c r="E37" s="71">
        <v>127.56896551724138</v>
      </c>
      <c r="F37" s="71">
        <v>0</v>
      </c>
      <c r="G37" s="71">
        <f t="shared" si="0"/>
        <v>280.9805579036348</v>
      </c>
      <c r="H37" s="71">
        <f t="shared" si="1"/>
        <v>408.5495234208762</v>
      </c>
      <c r="I37" s="94">
        <f t="shared" si="3"/>
        <v>35900.197736613518</v>
      </c>
      <c r="K37" s="5" t="str">
        <f t="shared" si="2"/>
        <v>FY2031</v>
      </c>
      <c r="M37" s="11"/>
      <c r="N37" s="11"/>
      <c r="O37" s="11"/>
      <c r="P37" s="11"/>
      <c r="Q37" s="11"/>
      <c r="R37" s="82" t="s">
        <v>99</v>
      </c>
      <c r="S37" s="78" t="s">
        <v>98</v>
      </c>
      <c r="T37" s="11"/>
    </row>
    <row r="38" spans="2:21" s="5" customFormat="1" ht="12">
      <c r="B38" s="5" t="s">
        <v>64</v>
      </c>
      <c r="C38" s="74">
        <v>195</v>
      </c>
      <c r="D38" s="73">
        <v>144</v>
      </c>
      <c r="E38" s="71">
        <v>84.612068965517238</v>
      </c>
      <c r="F38" s="71">
        <v>0</v>
      </c>
      <c r="G38" s="71">
        <f t="shared" si="0"/>
        <v>146.06931530008453</v>
      </c>
      <c r="H38" s="71">
        <f t="shared" si="1"/>
        <v>230.68138426560176</v>
      </c>
      <c r="I38" s="94">
        <f t="shared" si="3"/>
        <v>36130.879120879123</v>
      </c>
      <c r="K38" s="5" t="str">
        <f t="shared" si="2"/>
        <v>FY2031</v>
      </c>
      <c r="M38" s="11"/>
      <c r="N38" s="11"/>
      <c r="O38" s="11"/>
      <c r="P38" s="11"/>
      <c r="Q38" s="11"/>
      <c r="R38" s="11" t="s">
        <v>25</v>
      </c>
      <c r="S38" s="12">
        <v>1686</v>
      </c>
      <c r="T38" s="11"/>
    </row>
    <row r="39" spans="2:21" s="5" customFormat="1" ht="12">
      <c r="B39" s="5" t="s">
        <v>65</v>
      </c>
      <c r="C39" s="74">
        <v>118</v>
      </c>
      <c r="D39" s="73">
        <v>99</v>
      </c>
      <c r="E39" s="71">
        <v>0</v>
      </c>
      <c r="F39" s="71">
        <v>0</v>
      </c>
      <c r="G39" s="71">
        <f t="shared" si="0"/>
        <v>100.4226542688081</v>
      </c>
      <c r="H39" s="71">
        <f t="shared" si="1"/>
        <v>100.4226542688081</v>
      </c>
      <c r="I39" s="94">
        <f t="shared" si="3"/>
        <v>36231.301775147927</v>
      </c>
      <c r="K39" s="5" t="str">
        <f t="shared" si="2"/>
        <v>FY2031</v>
      </c>
      <c r="M39" s="11"/>
      <c r="N39" s="11"/>
      <c r="O39" s="11"/>
      <c r="P39" s="11"/>
      <c r="Q39" s="11"/>
      <c r="R39" s="11" t="s">
        <v>26</v>
      </c>
      <c r="S39" s="12">
        <v>1567</v>
      </c>
      <c r="T39" s="11"/>
    </row>
    <row r="40" spans="2:21" s="5" customFormat="1" ht="12">
      <c r="B40" s="5" t="s">
        <v>66</v>
      </c>
      <c r="C40" s="74">
        <v>91</v>
      </c>
      <c r="D40" s="73">
        <v>80</v>
      </c>
      <c r="E40" s="71">
        <v>0</v>
      </c>
      <c r="F40" s="71">
        <v>0</v>
      </c>
      <c r="G40" s="71">
        <f t="shared" si="0"/>
        <v>81.149619611158073</v>
      </c>
      <c r="H40" s="71">
        <f t="shared" si="1"/>
        <v>81.149619611158073</v>
      </c>
      <c r="I40" s="94">
        <f t="shared" si="3"/>
        <v>36312.451394759082</v>
      </c>
      <c r="K40" s="5" t="str">
        <f t="shared" si="2"/>
        <v>FY2031</v>
      </c>
      <c r="M40" s="11"/>
      <c r="N40" s="11"/>
      <c r="O40" s="11"/>
      <c r="P40" s="11"/>
      <c r="Q40" s="11"/>
      <c r="R40" s="11" t="s">
        <v>27</v>
      </c>
      <c r="S40" s="12">
        <v>6125</v>
      </c>
      <c r="T40" s="11"/>
    </row>
    <row r="41" spans="2:21" s="5" customFormat="1" ht="12">
      <c r="B41" s="5" t="s">
        <v>67</v>
      </c>
      <c r="C41" s="74">
        <v>118</v>
      </c>
      <c r="D41" s="73">
        <v>97</v>
      </c>
      <c r="E41" s="71">
        <v>0</v>
      </c>
      <c r="F41" s="71">
        <v>0</v>
      </c>
      <c r="G41" s="71">
        <f t="shared" si="0"/>
        <v>98.393913778529154</v>
      </c>
      <c r="H41" s="71">
        <f t="shared" si="1"/>
        <v>98.393913778529154</v>
      </c>
      <c r="I41" s="94">
        <f t="shared" si="3"/>
        <v>36410.84530853761</v>
      </c>
      <c r="K41" s="5" t="str">
        <f t="shared" si="2"/>
        <v>FY2031</v>
      </c>
      <c r="M41" s="11"/>
      <c r="N41" s="11"/>
      <c r="O41" s="11"/>
      <c r="P41" s="11"/>
      <c r="Q41" s="11"/>
      <c r="R41" s="11" t="s">
        <v>28</v>
      </c>
      <c r="S41" s="12">
        <v>6262</v>
      </c>
      <c r="T41" s="11"/>
    </row>
    <row r="42" spans="2:21" s="5" customFormat="1">
      <c r="B42" s="5" t="s">
        <v>68</v>
      </c>
      <c r="C42" s="74">
        <v>416</v>
      </c>
      <c r="D42" s="73">
        <v>369</v>
      </c>
      <c r="E42" s="71">
        <v>31</v>
      </c>
      <c r="F42" s="71">
        <v>0</v>
      </c>
      <c r="G42" s="71">
        <f t="shared" si="0"/>
        <v>374.30262045646657</v>
      </c>
      <c r="H42" s="71">
        <f t="shared" si="1"/>
        <v>405.30262045646657</v>
      </c>
      <c r="I42" s="94">
        <f t="shared" si="3"/>
        <v>36816.147928994076</v>
      </c>
      <c r="K42" s="5" t="str">
        <f t="shared" si="2"/>
        <v>FY2031</v>
      </c>
      <c r="M42" s="11"/>
      <c r="N42" s="11"/>
      <c r="O42" s="11"/>
      <c r="P42" s="11"/>
      <c r="Q42" s="11"/>
      <c r="R42" s="11" t="s">
        <v>49</v>
      </c>
      <c r="S42" s="80">
        <v>9312</v>
      </c>
      <c r="T42" s="11"/>
    </row>
    <row r="43" spans="2:21" s="5" customFormat="1" ht="12">
      <c r="B43" s="5" t="s">
        <v>69</v>
      </c>
      <c r="C43" s="74">
        <v>3</v>
      </c>
      <c r="D43" s="73">
        <v>2</v>
      </c>
      <c r="E43" s="71">
        <v>0</v>
      </c>
      <c r="F43" s="71">
        <v>0</v>
      </c>
      <c r="G43" s="71">
        <f t="shared" si="0"/>
        <v>2.0287404902789516</v>
      </c>
      <c r="H43" s="71">
        <f t="shared" si="1"/>
        <v>2.0287404902789516</v>
      </c>
      <c r="I43" s="94">
        <f t="shared" si="3"/>
        <v>36818.176669484354</v>
      </c>
      <c r="K43" s="5" t="str">
        <f t="shared" si="2"/>
        <v>FY2031</v>
      </c>
      <c r="M43" s="11"/>
      <c r="N43" s="11"/>
      <c r="O43" s="11"/>
      <c r="P43" s="11"/>
      <c r="Q43" s="11"/>
      <c r="R43" s="11"/>
      <c r="S43" s="12">
        <f>SUM(S38:S42)</f>
        <v>24952</v>
      </c>
      <c r="T43" s="11"/>
    </row>
    <row r="44" spans="2:21" s="5" customFormat="1" ht="12">
      <c r="B44" s="5" t="s">
        <v>70</v>
      </c>
      <c r="C44" s="74">
        <v>2</v>
      </c>
      <c r="D44" s="73">
        <v>2</v>
      </c>
      <c r="E44" s="71">
        <v>0</v>
      </c>
      <c r="F44" s="71">
        <v>0</v>
      </c>
      <c r="G44" s="71">
        <f t="shared" si="0"/>
        <v>2.0287404902789516</v>
      </c>
      <c r="H44" s="71">
        <f t="shared" si="1"/>
        <v>2.0287404902789516</v>
      </c>
      <c r="I44" s="94">
        <f t="shared" si="3"/>
        <v>36820.205409974631</v>
      </c>
      <c r="K44" s="5" t="str">
        <f t="shared" si="2"/>
        <v>FY2031</v>
      </c>
      <c r="M44" s="95" t="s">
        <v>140</v>
      </c>
    </row>
    <row r="45" spans="2:21" s="5" customFormat="1" ht="12">
      <c r="B45" s="5" t="s">
        <v>71</v>
      </c>
      <c r="C45" s="74">
        <v>7</v>
      </c>
      <c r="D45" s="73">
        <v>6</v>
      </c>
      <c r="E45" s="71">
        <v>0</v>
      </c>
      <c r="F45" s="71">
        <v>0</v>
      </c>
      <c r="G45" s="71">
        <f t="shared" si="0"/>
        <v>6.0862214708368549</v>
      </c>
      <c r="H45" s="71">
        <f t="shared" si="1"/>
        <v>6.0862214708368549</v>
      </c>
      <c r="I45" s="94">
        <f t="shared" si="3"/>
        <v>36826.291631445471</v>
      </c>
      <c r="K45" s="5" t="str">
        <f t="shared" si="2"/>
        <v>FY2031</v>
      </c>
      <c r="M45" s="95" t="s">
        <v>141</v>
      </c>
    </row>
    <row r="46" spans="2:21" s="5" customFormat="1" ht="12">
      <c r="B46" s="5" t="s">
        <v>72</v>
      </c>
      <c r="C46" s="74">
        <f>D46</f>
        <v>7</v>
      </c>
      <c r="D46" s="73">
        <v>7</v>
      </c>
      <c r="E46" s="71">
        <v>0</v>
      </c>
      <c r="F46" s="71">
        <v>0</v>
      </c>
      <c r="G46" s="71">
        <f t="shared" si="0"/>
        <v>7.1005917159763303</v>
      </c>
      <c r="H46" s="71">
        <f t="shared" si="1"/>
        <v>7.1005917159763303</v>
      </c>
      <c r="I46" s="94">
        <f t="shared" si="3"/>
        <v>36833.392223161449</v>
      </c>
      <c r="K46" s="5" t="str">
        <f t="shared" si="2"/>
        <v>FY2031</v>
      </c>
      <c r="M46" s="11" t="s">
        <v>101</v>
      </c>
      <c r="N46" s="11"/>
      <c r="O46" s="11"/>
      <c r="P46" s="11"/>
      <c r="Q46" s="11"/>
      <c r="R46" s="81">
        <f>1/C9</f>
        <v>0.39433333333333342</v>
      </c>
      <c r="S46" s="11"/>
      <c r="T46" s="11"/>
    </row>
    <row r="47" spans="2:21" s="5" customFormat="1" ht="12">
      <c r="B47" s="5" t="s">
        <v>73</v>
      </c>
      <c r="C47" s="74">
        <f t="shared" ref="C47:C51" si="10">D47</f>
        <v>6</v>
      </c>
      <c r="D47" s="73">
        <v>6</v>
      </c>
      <c r="E47" s="71">
        <v>0</v>
      </c>
      <c r="F47" s="71">
        <v>0</v>
      </c>
      <c r="G47" s="71">
        <f t="shared" si="0"/>
        <v>6.0862214708368549</v>
      </c>
      <c r="H47" s="71">
        <f t="shared" si="1"/>
        <v>6.0862214708368549</v>
      </c>
      <c r="I47" s="94">
        <f t="shared" si="3"/>
        <v>36839.478444632288</v>
      </c>
      <c r="K47" s="5" t="str">
        <f t="shared" si="2"/>
        <v>FY2031</v>
      </c>
      <c r="M47" s="11"/>
      <c r="N47" s="11"/>
      <c r="O47" s="11"/>
      <c r="P47" s="11"/>
      <c r="Q47" s="11"/>
      <c r="R47" s="11"/>
      <c r="S47" s="11"/>
      <c r="T47" s="11"/>
    </row>
    <row r="48" spans="2:21" s="5" customFormat="1" ht="12">
      <c r="B48" s="5" t="s">
        <v>74</v>
      </c>
      <c r="C48" s="74">
        <f t="shared" si="10"/>
        <v>9</v>
      </c>
      <c r="D48" s="73">
        <v>9</v>
      </c>
      <c r="E48" s="71">
        <v>0</v>
      </c>
      <c r="F48" s="71">
        <v>0</v>
      </c>
      <c r="G48" s="71">
        <f t="shared" si="0"/>
        <v>9.1293322062552829</v>
      </c>
      <c r="H48" s="71">
        <f t="shared" si="1"/>
        <v>9.1293322062552829</v>
      </c>
      <c r="I48" s="94">
        <f t="shared" si="3"/>
        <v>36848.607776838544</v>
      </c>
      <c r="K48" s="5" t="str">
        <f t="shared" si="2"/>
        <v>FY2031</v>
      </c>
      <c r="M48" s="11" t="s">
        <v>107</v>
      </c>
      <c r="N48" s="11"/>
      <c r="O48" s="11"/>
      <c r="P48" s="11"/>
      <c r="Q48" s="11"/>
      <c r="R48" s="78" t="s">
        <v>103</v>
      </c>
      <c r="S48" s="79" t="s">
        <v>104</v>
      </c>
      <c r="T48" s="11"/>
      <c r="U48" s="11"/>
    </row>
    <row r="49" spans="2:21" s="5" customFormat="1" ht="12">
      <c r="B49" s="5" t="s">
        <v>75</v>
      </c>
      <c r="C49" s="74">
        <f t="shared" si="10"/>
        <v>0</v>
      </c>
      <c r="D49" s="73">
        <v>0</v>
      </c>
      <c r="E49" s="71">
        <v>0</v>
      </c>
      <c r="F49" s="71">
        <v>0</v>
      </c>
      <c r="G49" s="71">
        <f t="shared" si="0"/>
        <v>0</v>
      </c>
      <c r="H49" s="71">
        <f t="shared" si="1"/>
        <v>0</v>
      </c>
      <c r="I49" s="94">
        <f t="shared" si="3"/>
        <v>36848.607776838544</v>
      </c>
      <c r="K49" s="5" t="str">
        <f t="shared" si="2"/>
        <v>FY2031</v>
      </c>
      <c r="M49" s="11"/>
      <c r="N49" s="11"/>
      <c r="O49" s="11"/>
      <c r="P49" s="11"/>
      <c r="Q49" s="13" t="s">
        <v>111</v>
      </c>
      <c r="R49" s="83">
        <f>SUM(C22:C51)</f>
        <v>36672</v>
      </c>
      <c r="S49" s="12">
        <f>R49/R46</f>
        <v>92997.464074387128</v>
      </c>
      <c r="T49" s="81">
        <f>S49/S$49</f>
        <v>1</v>
      </c>
      <c r="U49" s="11"/>
    </row>
    <row r="50" spans="2:21" s="5" customFormat="1" ht="12">
      <c r="B50" s="5" t="s">
        <v>76</v>
      </c>
      <c r="C50" s="74">
        <f t="shared" si="10"/>
        <v>1</v>
      </c>
      <c r="D50" s="73">
        <v>1</v>
      </c>
      <c r="E50" s="71">
        <v>0</v>
      </c>
      <c r="F50" s="71">
        <v>0</v>
      </c>
      <c r="G50" s="71">
        <f t="shared" si="0"/>
        <v>1.0143702451394758</v>
      </c>
      <c r="H50" s="71">
        <f t="shared" si="1"/>
        <v>1.0143702451394758</v>
      </c>
      <c r="I50" s="94">
        <f t="shared" si="3"/>
        <v>36849.622147083683</v>
      </c>
      <c r="K50" s="5" t="str">
        <f t="shared" si="2"/>
        <v>FY2031</v>
      </c>
      <c r="M50" s="11"/>
      <c r="N50" s="11"/>
      <c r="O50" s="11"/>
      <c r="P50" s="11"/>
      <c r="Q50" s="13" t="s">
        <v>102</v>
      </c>
      <c r="R50" s="12">
        <f>S50*R46</f>
        <v>9839.4053333333359</v>
      </c>
      <c r="S50" s="83">
        <f>S43</f>
        <v>24952</v>
      </c>
      <c r="T50" s="81">
        <f>S50/S$49</f>
        <v>0.26830839150669</v>
      </c>
      <c r="U50" s="11"/>
    </row>
    <row r="51" spans="2:21" s="5" customFormat="1" ht="12">
      <c r="B51" s="5" t="s">
        <v>77</v>
      </c>
      <c r="C51" s="74">
        <f t="shared" si="10"/>
        <v>8</v>
      </c>
      <c r="D51" s="73">
        <v>8</v>
      </c>
      <c r="E51" s="71"/>
      <c r="F51" s="71">
        <v>0</v>
      </c>
      <c r="G51" s="71">
        <f t="shared" si="0"/>
        <v>8.1149619611158066</v>
      </c>
      <c r="H51" s="71">
        <f t="shared" si="1"/>
        <v>8.1149619611158066</v>
      </c>
      <c r="I51" s="94">
        <f t="shared" si="3"/>
        <v>36857.7371090448</v>
      </c>
      <c r="K51" s="5" t="str">
        <f t="shared" si="2"/>
        <v>FY2031</v>
      </c>
      <c r="M51" s="11"/>
      <c r="N51" s="11"/>
      <c r="O51" s="11"/>
      <c r="P51" s="11"/>
      <c r="Q51" s="13" t="s">
        <v>105</v>
      </c>
      <c r="R51" s="12">
        <f>S51*R46</f>
        <v>14534.234333333336</v>
      </c>
      <c r="S51" s="83">
        <f>SUM(H21:H51)</f>
        <v>36857.7371090448</v>
      </c>
      <c r="T51" s="81">
        <f>S51/S$49</f>
        <v>0.3963305610093078</v>
      </c>
      <c r="U51" s="11"/>
    </row>
    <row r="52" spans="2:21" s="5" customFormat="1" ht="12">
      <c r="E52" s="9">
        <f>SUM(E21:E51)</f>
        <v>31243</v>
      </c>
      <c r="F52" s="9">
        <f t="shared" ref="F52:G52" si="11">SUM(F21:F51)</f>
        <v>2598</v>
      </c>
      <c r="G52" s="9">
        <f t="shared" si="11"/>
        <v>3016.7371090448005</v>
      </c>
      <c r="H52" s="9"/>
      <c r="I52" s="8"/>
      <c r="M52" s="11"/>
      <c r="N52" s="11"/>
      <c r="O52" s="11"/>
      <c r="P52" s="11"/>
      <c r="Q52" s="13" t="s">
        <v>106</v>
      </c>
      <c r="R52" s="12">
        <f>R49-R50-R51</f>
        <v>12298.360333333329</v>
      </c>
      <c r="S52" s="12">
        <f>S49-S50-S51</f>
        <v>31187.726965342328</v>
      </c>
      <c r="T52" s="81">
        <f>S52/S$49</f>
        <v>0.33536104748400219</v>
      </c>
      <c r="U52" s="11"/>
    </row>
    <row r="53" spans="2:21">
      <c r="M53" s="11"/>
      <c r="N53" s="11"/>
      <c r="O53" s="11"/>
      <c r="P53" s="11"/>
      <c r="Q53" s="13"/>
      <c r="R53" s="11"/>
      <c r="S53" s="11"/>
      <c r="T53" s="11"/>
      <c r="U53" s="11"/>
    </row>
    <row r="54" spans="2:21">
      <c r="B54" s="5" t="s">
        <v>263</v>
      </c>
    </row>
    <row r="55" spans="2:21">
      <c r="B55" s="5" t="s">
        <v>264</v>
      </c>
      <c r="C55" s="159" t="s">
        <v>268</v>
      </c>
      <c r="D55" s="159"/>
    </row>
    <row r="56" spans="2:21">
      <c r="B56" s="5" t="s">
        <v>265</v>
      </c>
      <c r="C56" s="159" t="s">
        <v>270</v>
      </c>
      <c r="D56" s="159"/>
    </row>
    <row r="57" spans="2:21">
      <c r="B57" s="5" t="s">
        <v>266</v>
      </c>
      <c r="C57" s="160" t="s">
        <v>269</v>
      </c>
      <c r="D57" s="159"/>
    </row>
    <row r="58" spans="2:21">
      <c r="B58" s="5" t="s">
        <v>267</v>
      </c>
      <c r="C58" s="159" t="s">
        <v>271</v>
      </c>
      <c r="D58" s="159"/>
    </row>
  </sheetData>
  <hyperlinks>
    <hyperlink ref="C57" r:id="rId1" xr:uid="{BED6B383-376C-4452-A531-000D19D3A4DA}"/>
  </hyperlinks>
  <pageMargins left="0.45" right="0.45" top="0.5" bottom="0.5" header="0.3" footer="0.3"/>
  <pageSetup scale="59"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0555E-C17B-42FD-83FA-66E7EDA727CD}">
  <sheetPr>
    <pageSetUpPr fitToPage="1"/>
  </sheetPr>
  <dimension ref="B1:R58"/>
  <sheetViews>
    <sheetView workbookViewId="0"/>
  </sheetViews>
  <sheetFormatPr defaultRowHeight="14.25"/>
  <cols>
    <col min="1" max="1" width="2.75" customWidth="1"/>
    <col min="2" max="2" width="20.125" customWidth="1"/>
    <col min="3" max="3" width="9.125" bestFit="1" customWidth="1"/>
    <col min="4" max="4" width="9.125" customWidth="1"/>
    <col min="5" max="5" width="9.75" customWidth="1"/>
    <col min="7" max="7" width="11.25" customWidth="1"/>
    <col min="8" max="8" width="10.625" customWidth="1"/>
    <col min="9" max="9" width="10.25" customWidth="1"/>
    <col min="10" max="10" width="9.625" customWidth="1"/>
    <col min="11" max="11" width="11.5" customWidth="1"/>
    <col min="12" max="12" width="5.25" customWidth="1"/>
    <col min="14" max="14" width="6.625" customWidth="1"/>
    <col min="15" max="16" width="7.375" customWidth="1"/>
    <col min="17" max="17" width="11" customWidth="1"/>
    <col min="18" max="18" width="27.25" customWidth="1"/>
  </cols>
  <sheetData>
    <row r="1" spans="2:17" ht="26.25">
      <c r="B1" s="25" t="s">
        <v>109</v>
      </c>
      <c r="C1" s="26"/>
      <c r="D1" s="26"/>
      <c r="E1" s="26"/>
      <c r="F1" s="26"/>
    </row>
    <row r="3" spans="2:17">
      <c r="B3" s="27" t="s">
        <v>95</v>
      </c>
      <c r="C3" s="28"/>
      <c r="D3" s="28"/>
      <c r="E3" s="28"/>
      <c r="F3" s="28"/>
      <c r="G3" s="28"/>
      <c r="H3" s="28"/>
    </row>
    <row r="4" spans="2:17">
      <c r="B4" s="29" t="s">
        <v>112</v>
      </c>
    </row>
    <row r="5" spans="2:17">
      <c r="B5" s="29"/>
      <c r="C5" s="29" t="s">
        <v>4</v>
      </c>
      <c r="D5" s="29" t="s">
        <v>5</v>
      </c>
      <c r="E5" s="29" t="s">
        <v>6</v>
      </c>
      <c r="F5" s="29" t="s">
        <v>3</v>
      </c>
    </row>
    <row r="6" spans="2:17">
      <c r="B6" s="13" t="s">
        <v>320</v>
      </c>
      <c r="C6" s="65"/>
      <c r="D6" s="65"/>
      <c r="E6" s="65"/>
      <c r="F6" s="65"/>
      <c r="G6" s="5"/>
      <c r="H6" s="5"/>
      <c r="I6" s="30"/>
      <c r="J6" s="5"/>
      <c r="K6" s="5"/>
      <c r="L6" s="5"/>
      <c r="M6" s="5"/>
    </row>
    <row r="7" spans="2:17">
      <c r="B7" s="64"/>
      <c r="C7" s="32"/>
      <c r="D7" s="32"/>
      <c r="E7" s="32"/>
      <c r="F7" s="65"/>
      <c r="G7" s="5"/>
      <c r="H7" s="5"/>
      <c r="I7" s="5"/>
      <c r="J7" s="31"/>
      <c r="K7" s="31"/>
      <c r="L7" s="31"/>
      <c r="M7" s="5"/>
    </row>
    <row r="8" spans="2:17" ht="14.45" customHeight="1">
      <c r="C8" s="68"/>
      <c r="D8" s="86">
        <v>0.82</v>
      </c>
      <c r="E8" s="64" t="s">
        <v>11</v>
      </c>
      <c r="F8" s="65"/>
      <c r="G8" s="33"/>
      <c r="H8" s="33"/>
      <c r="I8" s="5"/>
      <c r="J8" s="5"/>
      <c r="K8" s="5"/>
      <c r="L8" s="5"/>
      <c r="M8" s="5"/>
    </row>
    <row r="9" spans="2:17">
      <c r="C9" s="84"/>
      <c r="D9" s="85">
        <v>2.5359256128486893</v>
      </c>
      <c r="E9" s="64" t="s">
        <v>128</v>
      </c>
      <c r="F9" s="64"/>
      <c r="G9" s="33"/>
      <c r="H9" s="33"/>
      <c r="I9" s="5"/>
      <c r="J9" s="34"/>
      <c r="K9" s="34"/>
      <c r="L9" s="34"/>
      <c r="M9" s="5"/>
    </row>
    <row r="10" spans="2:17">
      <c r="C10" s="66"/>
      <c r="D10" s="66">
        <v>0.55000000000000004</v>
      </c>
      <c r="E10" s="64" t="s">
        <v>12</v>
      </c>
      <c r="F10" s="64"/>
      <c r="G10" s="33"/>
      <c r="H10" s="33"/>
      <c r="I10" s="5"/>
      <c r="J10" s="35"/>
      <c r="K10" s="35"/>
      <c r="L10" s="36"/>
      <c r="M10" s="5"/>
      <c r="N10" s="37"/>
      <c r="O10" s="38"/>
      <c r="P10" s="38"/>
      <c r="Q10" s="38"/>
    </row>
    <row r="11" spans="2:17">
      <c r="B11" s="64"/>
      <c r="C11" s="66"/>
      <c r="D11" s="66"/>
      <c r="E11" s="66"/>
      <c r="F11" s="64"/>
      <c r="G11" s="33"/>
      <c r="H11" s="33"/>
      <c r="I11" s="5"/>
      <c r="J11" s="32"/>
      <c r="K11" s="32"/>
      <c r="L11" s="32"/>
      <c r="M11" s="5"/>
      <c r="N11" s="37"/>
      <c r="O11" s="38"/>
      <c r="P11" s="38"/>
      <c r="Q11" s="38"/>
    </row>
    <row r="12" spans="2:17">
      <c r="B12" s="39"/>
      <c r="C12" s="40" t="s">
        <v>5</v>
      </c>
      <c r="D12" s="41" t="s">
        <v>5</v>
      </c>
      <c r="M12" s="42"/>
      <c r="N12" s="37"/>
      <c r="O12" s="38"/>
      <c r="P12" s="38"/>
      <c r="Q12" s="38"/>
    </row>
    <row r="13" spans="2:17">
      <c r="B13" s="30" t="s">
        <v>37</v>
      </c>
      <c r="C13" s="31" t="s">
        <v>38</v>
      </c>
      <c r="D13" s="31" t="s">
        <v>39</v>
      </c>
      <c r="O13" s="37"/>
      <c r="P13" s="37"/>
    </row>
    <row r="14" spans="2:17">
      <c r="B14" s="157">
        <v>44835</v>
      </c>
      <c r="C14" s="158">
        <v>43777</v>
      </c>
      <c r="D14" s="158">
        <v>43807</v>
      </c>
      <c r="O14" s="37"/>
      <c r="P14" s="37"/>
    </row>
    <row r="15" spans="2:17">
      <c r="B15" s="157">
        <v>45200</v>
      </c>
      <c r="C15" s="158">
        <v>43449</v>
      </c>
      <c r="D15" s="41">
        <v>44652</v>
      </c>
      <c r="O15" s="37"/>
      <c r="P15" s="37"/>
    </row>
    <row r="16" spans="2:17">
      <c r="B16" s="39">
        <v>45566</v>
      </c>
      <c r="C16" s="40">
        <v>44562</v>
      </c>
      <c r="D16" s="41">
        <v>44652</v>
      </c>
    </row>
    <row r="17" spans="2:18">
      <c r="B17" s="39">
        <v>45931</v>
      </c>
      <c r="C17" s="40">
        <v>44228</v>
      </c>
      <c r="D17" s="41">
        <v>44652</v>
      </c>
    </row>
    <row r="18" spans="2:18" ht="15">
      <c r="B18" s="43"/>
    </row>
    <row r="19" spans="2:18" ht="15">
      <c r="B19" s="44" t="s">
        <v>261</v>
      </c>
      <c r="C19" s="28"/>
      <c r="D19" s="28"/>
      <c r="E19" s="28"/>
      <c r="F19" s="28"/>
      <c r="G19" s="100">
        <f>D8*D9*D10</f>
        <v>1.1437024513947589</v>
      </c>
      <c r="H19" s="87"/>
      <c r="I19" s="28"/>
      <c r="J19" s="28"/>
      <c r="K19" s="28"/>
      <c r="M19" s="44" t="s">
        <v>131</v>
      </c>
      <c r="N19" s="28"/>
      <c r="O19" s="28"/>
      <c r="P19" s="28"/>
      <c r="Q19" s="28"/>
    </row>
    <row r="20" spans="2:18" ht="33.6" customHeight="1">
      <c r="B20" s="45" t="s">
        <v>40</v>
      </c>
      <c r="E20" s="89" t="s">
        <v>13</v>
      </c>
      <c r="F20" s="89" t="s">
        <v>14</v>
      </c>
      <c r="G20" s="89" t="s">
        <v>15</v>
      </c>
      <c r="H20" s="89" t="s">
        <v>97</v>
      </c>
      <c r="I20" s="46"/>
      <c r="J20" s="46"/>
      <c r="K20" s="75" t="s">
        <v>100</v>
      </c>
      <c r="M20" s="43"/>
      <c r="O20" s="4">
        <v>7.0000000000000007E-2</v>
      </c>
    </row>
    <row r="21" spans="2:18" s="49" customFormat="1" ht="50.45" customHeight="1">
      <c r="B21" s="47" t="s">
        <v>9</v>
      </c>
      <c r="C21" s="47" t="s">
        <v>120</v>
      </c>
      <c r="D21" s="72" t="s">
        <v>41</v>
      </c>
      <c r="E21" s="70" t="s">
        <v>127</v>
      </c>
      <c r="F21" s="70" t="s">
        <v>121</v>
      </c>
      <c r="G21" s="70" t="s">
        <v>133</v>
      </c>
      <c r="H21" s="70" t="s">
        <v>117</v>
      </c>
      <c r="I21" s="70" t="s">
        <v>42</v>
      </c>
      <c r="J21" s="48" t="s">
        <v>92</v>
      </c>
      <c r="K21" s="48" t="s">
        <v>96</v>
      </c>
      <c r="L21" s="47"/>
      <c r="M21" s="47" t="s">
        <v>43</v>
      </c>
      <c r="N21" s="47" t="s">
        <v>44</v>
      </c>
      <c r="O21" s="47" t="s">
        <v>135</v>
      </c>
      <c r="P21" s="48" t="s">
        <v>45</v>
      </c>
      <c r="Q21" s="47"/>
    </row>
    <row r="22" spans="2:18" s="5" customFormat="1" ht="12">
      <c r="B22" s="5" t="s">
        <v>46</v>
      </c>
      <c r="D22" s="73">
        <v>0</v>
      </c>
      <c r="E22" s="32">
        <v>51</v>
      </c>
      <c r="F22" s="32"/>
      <c r="G22" s="50">
        <f>D22*G$19</f>
        <v>0</v>
      </c>
      <c r="H22" s="50">
        <f>SUM(E22:G22)</f>
        <v>51</v>
      </c>
      <c r="I22" s="91">
        <f>H22</f>
        <v>51</v>
      </c>
      <c r="J22" s="5" t="s">
        <v>47</v>
      </c>
      <c r="K22" s="5" t="str">
        <f>_xlfn.XLOOKUP(I22,$P$22:$P$29,$Q$22:$Q$29,"FY24 and earlier",-1)</f>
        <v>FY24 and earlier</v>
      </c>
      <c r="M22" s="5" t="s">
        <v>48</v>
      </c>
      <c r="O22" s="50">
        <v>130.35000000000014</v>
      </c>
      <c r="P22" s="92">
        <f>O22</f>
        <v>130.35000000000014</v>
      </c>
      <c r="Q22" s="51" t="s">
        <v>49</v>
      </c>
      <c r="R22" s="32"/>
    </row>
    <row r="23" spans="2:18" s="5" customFormat="1" ht="12">
      <c r="B23" s="5" t="s">
        <v>50</v>
      </c>
      <c r="C23" s="32">
        <v>42</v>
      </c>
      <c r="D23" s="88">
        <v>0</v>
      </c>
      <c r="E23" s="32">
        <v>6.7842170160295927</v>
      </c>
      <c r="F23" s="32"/>
      <c r="G23" s="50">
        <f t="shared" ref="G23:G43" si="0">D23*G$19</f>
        <v>0</v>
      </c>
      <c r="H23" s="50">
        <f t="shared" ref="H23:H43" si="1">SUM(E23:G23)</f>
        <v>6.7842170160295927</v>
      </c>
      <c r="I23" s="91">
        <f>I22+H23</f>
        <v>57.784217016029594</v>
      </c>
      <c r="J23" s="5" t="s">
        <v>47</v>
      </c>
      <c r="K23" s="5" t="str">
        <f t="shared" ref="K23:K43" si="2">_xlfn.XLOOKUP(I23,$P$22:$P$29,$Q$22:$Q$29,"FY24 and earlier",-1)</f>
        <v>FY24 and earlier</v>
      </c>
      <c r="M23" s="5" t="s">
        <v>51</v>
      </c>
      <c r="N23" s="32">
        <v>11470</v>
      </c>
      <c r="O23" s="33">
        <v>900</v>
      </c>
      <c r="P23" s="93">
        <f t="shared" ref="P23:P29" si="3">P22+O23</f>
        <v>1030.3500000000001</v>
      </c>
      <c r="Q23" s="52" t="s">
        <v>51</v>
      </c>
      <c r="R23" s="33"/>
    </row>
    <row r="24" spans="2:18" s="5" customFormat="1" ht="12">
      <c r="B24" s="5" t="s">
        <v>52</v>
      </c>
      <c r="C24" s="32">
        <v>261</v>
      </c>
      <c r="D24" s="88">
        <v>1</v>
      </c>
      <c r="E24" s="32">
        <v>42.159062885326755</v>
      </c>
      <c r="F24" s="32"/>
      <c r="G24" s="50">
        <f t="shared" si="0"/>
        <v>1.1437024513947589</v>
      </c>
      <c r="H24" s="50">
        <f t="shared" si="1"/>
        <v>43.302765336721514</v>
      </c>
      <c r="I24" s="91">
        <f t="shared" ref="I24:I43" si="4">I23+H24</f>
        <v>101.08698235275111</v>
      </c>
      <c r="J24" s="5" t="s">
        <v>47</v>
      </c>
      <c r="K24" s="5" t="str">
        <f t="shared" si="2"/>
        <v>FY24 and earlier</v>
      </c>
      <c r="M24" s="5" t="s">
        <v>53</v>
      </c>
      <c r="N24" s="32">
        <v>7300</v>
      </c>
      <c r="O24" s="33">
        <f t="shared" ref="O24:O29" si="5">N24*O$20</f>
        <v>511.00000000000006</v>
      </c>
      <c r="P24" s="93">
        <f t="shared" si="3"/>
        <v>1541.3500000000001</v>
      </c>
      <c r="Q24" s="52" t="s">
        <v>53</v>
      </c>
      <c r="R24" s="33"/>
    </row>
    <row r="25" spans="2:18" s="5" customFormat="1" ht="12">
      <c r="B25" s="5" t="s">
        <v>54</v>
      </c>
      <c r="C25" s="32">
        <v>127</v>
      </c>
      <c r="D25" s="88">
        <v>0</v>
      </c>
      <c r="E25" s="32">
        <v>20.514180024660913</v>
      </c>
      <c r="F25" s="32"/>
      <c r="G25" s="50">
        <f t="shared" si="0"/>
        <v>0</v>
      </c>
      <c r="H25" s="50">
        <f t="shared" si="1"/>
        <v>20.514180024660913</v>
      </c>
      <c r="I25" s="91">
        <f t="shared" si="4"/>
        <v>121.60116237741202</v>
      </c>
      <c r="J25" s="5" t="s">
        <v>47</v>
      </c>
      <c r="K25" s="5" t="str">
        <f t="shared" si="2"/>
        <v>FY24 and earlier</v>
      </c>
      <c r="M25" s="5" t="s">
        <v>55</v>
      </c>
      <c r="N25" s="32">
        <v>6800</v>
      </c>
      <c r="O25" s="33">
        <f t="shared" si="5"/>
        <v>476.00000000000006</v>
      </c>
      <c r="P25" s="93">
        <f t="shared" si="3"/>
        <v>2017.3500000000001</v>
      </c>
      <c r="Q25" s="51" t="s">
        <v>55</v>
      </c>
      <c r="R25" s="33"/>
    </row>
    <row r="26" spans="2:18" s="5" customFormat="1" ht="12">
      <c r="B26" s="5" t="s">
        <v>56</v>
      </c>
      <c r="C26" s="32">
        <v>381</v>
      </c>
      <c r="D26" s="88">
        <v>1</v>
      </c>
      <c r="E26" s="32">
        <v>61.542540073982742</v>
      </c>
      <c r="F26" s="32"/>
      <c r="G26" s="50">
        <f t="shared" si="0"/>
        <v>1.1437024513947589</v>
      </c>
      <c r="H26" s="50">
        <f t="shared" si="1"/>
        <v>62.686242525377502</v>
      </c>
      <c r="I26" s="91">
        <f t="shared" si="4"/>
        <v>184.28740490278952</v>
      </c>
      <c r="J26" s="5" t="s">
        <v>47</v>
      </c>
      <c r="K26" s="5" t="str">
        <f t="shared" si="2"/>
        <v>FY2024</v>
      </c>
      <c r="M26" s="5" t="s">
        <v>57</v>
      </c>
      <c r="N26" s="32">
        <v>6800</v>
      </c>
      <c r="O26" s="33">
        <f t="shared" si="5"/>
        <v>476.00000000000006</v>
      </c>
      <c r="P26" s="93">
        <f t="shared" si="3"/>
        <v>2493.3500000000004</v>
      </c>
      <c r="Q26" s="51" t="s">
        <v>57</v>
      </c>
      <c r="R26" s="33"/>
    </row>
    <row r="27" spans="2:18" s="5" customFormat="1" ht="12">
      <c r="B27" s="5" t="s">
        <v>58</v>
      </c>
      <c r="C27" s="32">
        <v>283</v>
      </c>
      <c r="D27" s="88">
        <v>0</v>
      </c>
      <c r="E27" s="32">
        <v>179.41673710904482</v>
      </c>
      <c r="F27" s="32"/>
      <c r="G27" s="50">
        <f t="shared" si="0"/>
        <v>0</v>
      </c>
      <c r="H27" s="50">
        <f t="shared" si="1"/>
        <v>179.41673710904482</v>
      </c>
      <c r="I27" s="91">
        <f t="shared" si="4"/>
        <v>363.70414201183434</v>
      </c>
      <c r="J27" s="5" t="s">
        <v>47</v>
      </c>
      <c r="K27" s="5" t="str">
        <f t="shared" si="2"/>
        <v>FY2024</v>
      </c>
      <c r="M27" s="5" t="s">
        <v>59</v>
      </c>
      <c r="N27" s="32">
        <v>6800</v>
      </c>
      <c r="O27" s="33">
        <f t="shared" si="5"/>
        <v>476.00000000000006</v>
      </c>
      <c r="P27" s="93">
        <f t="shared" si="3"/>
        <v>2969.3500000000004</v>
      </c>
      <c r="Q27" s="51" t="s">
        <v>59</v>
      </c>
      <c r="R27" s="33"/>
    </row>
    <row r="28" spans="2:18" s="5" customFormat="1" ht="12">
      <c r="B28" s="5" t="s">
        <v>60</v>
      </c>
      <c r="C28" s="32">
        <v>127</v>
      </c>
      <c r="D28" s="88">
        <v>0</v>
      </c>
      <c r="E28" s="32">
        <v>80.515638207945898</v>
      </c>
      <c r="F28" s="32"/>
      <c r="G28" s="50">
        <f t="shared" si="0"/>
        <v>0</v>
      </c>
      <c r="H28" s="50">
        <f t="shared" si="1"/>
        <v>80.515638207945898</v>
      </c>
      <c r="I28" s="91">
        <f t="shared" si="4"/>
        <v>444.2197802197802</v>
      </c>
      <c r="J28" s="5" t="s">
        <v>47</v>
      </c>
      <c r="K28" s="5" t="str">
        <f t="shared" si="2"/>
        <v>FY2024</v>
      </c>
      <c r="M28" s="5" t="s">
        <v>61</v>
      </c>
      <c r="N28" s="32">
        <v>6800</v>
      </c>
      <c r="O28" s="33">
        <f t="shared" si="5"/>
        <v>476.00000000000006</v>
      </c>
      <c r="P28" s="93">
        <f t="shared" si="3"/>
        <v>3445.3500000000004</v>
      </c>
      <c r="Q28" s="51" t="s">
        <v>61</v>
      </c>
      <c r="R28" s="33"/>
    </row>
    <row r="29" spans="2:18" s="5" customFormat="1" ht="12">
      <c r="B29" s="5" t="s">
        <v>62</v>
      </c>
      <c r="C29" s="32">
        <v>330</v>
      </c>
      <c r="D29" s="88">
        <v>3</v>
      </c>
      <c r="E29" s="32">
        <v>209.21386306001693</v>
      </c>
      <c r="F29" s="32"/>
      <c r="G29" s="50">
        <f t="shared" si="0"/>
        <v>3.4311073541842765</v>
      </c>
      <c r="H29" s="50">
        <f t="shared" si="1"/>
        <v>212.6449704142012</v>
      </c>
      <c r="I29" s="91">
        <f t="shared" si="4"/>
        <v>656.86475063398143</v>
      </c>
      <c r="J29" s="5" t="s">
        <v>47</v>
      </c>
      <c r="K29" s="5" t="str">
        <f t="shared" si="2"/>
        <v>FY2024</v>
      </c>
      <c r="M29" s="5" t="s">
        <v>63</v>
      </c>
      <c r="N29" s="32">
        <v>6800</v>
      </c>
      <c r="O29" s="33">
        <f t="shared" si="5"/>
        <v>476.00000000000006</v>
      </c>
      <c r="P29" s="93">
        <f t="shared" si="3"/>
        <v>3921.3500000000004</v>
      </c>
      <c r="Q29" s="51" t="s">
        <v>63</v>
      </c>
      <c r="R29" s="33"/>
    </row>
    <row r="30" spans="2:18" s="5" customFormat="1" ht="12">
      <c r="B30" s="5" t="s">
        <v>64</v>
      </c>
      <c r="C30" s="32">
        <v>443</v>
      </c>
      <c r="D30" s="88">
        <v>1</v>
      </c>
      <c r="E30" s="32">
        <v>280.85376162299241</v>
      </c>
      <c r="F30" s="32">
        <v>45</v>
      </c>
      <c r="G30" s="50">
        <f t="shared" si="0"/>
        <v>1.1437024513947589</v>
      </c>
      <c r="H30" s="50">
        <f t="shared" si="1"/>
        <v>326.99746407438715</v>
      </c>
      <c r="I30" s="91">
        <f t="shared" si="4"/>
        <v>983.86221470836858</v>
      </c>
      <c r="J30" s="5" t="s">
        <v>47</v>
      </c>
      <c r="K30" s="5" t="str">
        <f t="shared" si="2"/>
        <v>FY2024</v>
      </c>
      <c r="O30" s="33"/>
      <c r="P30" s="33"/>
      <c r="Q30" s="33"/>
      <c r="R30" s="33"/>
    </row>
    <row r="31" spans="2:18" s="5" customFormat="1" ht="12">
      <c r="B31" s="5" t="s">
        <v>65</v>
      </c>
      <c r="C31" s="32">
        <v>155</v>
      </c>
      <c r="D31" s="88">
        <v>7</v>
      </c>
      <c r="E31" s="32">
        <v>93.769282360831667</v>
      </c>
      <c r="F31" s="32">
        <v>23</v>
      </c>
      <c r="G31" s="50">
        <f t="shared" si="0"/>
        <v>8.0059171597633121</v>
      </c>
      <c r="H31" s="50">
        <f t="shared" si="1"/>
        <v>124.77519952059498</v>
      </c>
      <c r="I31" s="91">
        <f t="shared" si="4"/>
        <v>1108.6374142289635</v>
      </c>
      <c r="J31" s="5" t="s">
        <v>47</v>
      </c>
      <c r="K31" s="5" t="str">
        <f>_xlfn.XLOOKUP(I31,$P$22:$P$29,$Q$22:$Q$29,"FY24 and earlier",-1)</f>
        <v>FY2025</v>
      </c>
      <c r="N31" s="32"/>
      <c r="O31" s="33"/>
      <c r="P31" s="33"/>
      <c r="Q31" s="51"/>
      <c r="R31" s="33"/>
    </row>
    <row r="32" spans="2:18" s="5" customFormat="1" ht="11.45" customHeight="1">
      <c r="B32" s="5" t="s">
        <v>66</v>
      </c>
      <c r="C32" s="32">
        <v>180</v>
      </c>
      <c r="D32" s="88">
        <v>3</v>
      </c>
      <c r="E32" s="32">
        <v>108.8933601609658</v>
      </c>
      <c r="F32" s="32">
        <v>44</v>
      </c>
      <c r="G32" s="50">
        <f t="shared" si="0"/>
        <v>3.4311073541842765</v>
      </c>
      <c r="H32" s="50">
        <f t="shared" si="1"/>
        <v>156.32446751515008</v>
      </c>
      <c r="I32" s="91">
        <f t="shared" si="4"/>
        <v>1264.9618817441135</v>
      </c>
      <c r="J32" s="5" t="s">
        <v>47</v>
      </c>
      <c r="K32" s="5" t="str">
        <f t="shared" si="2"/>
        <v>FY2025</v>
      </c>
      <c r="M32" s="897" t="s">
        <v>134</v>
      </c>
      <c r="N32" s="897"/>
      <c r="O32" s="897"/>
      <c r="P32" s="897"/>
      <c r="Q32" s="897"/>
      <c r="R32" s="33"/>
    </row>
    <row r="33" spans="2:18" s="5" customFormat="1" ht="12">
      <c r="B33" s="5" t="s">
        <v>67</v>
      </c>
      <c r="C33" s="32">
        <v>249</v>
      </c>
      <c r="D33" s="88">
        <v>9</v>
      </c>
      <c r="E33" s="32">
        <v>150.63581488933602</v>
      </c>
      <c r="F33" s="32">
        <v>99</v>
      </c>
      <c r="G33" s="50">
        <f t="shared" si="0"/>
        <v>10.29332206255283</v>
      </c>
      <c r="H33" s="50">
        <f t="shared" si="1"/>
        <v>259.92913695188884</v>
      </c>
      <c r="I33" s="91">
        <f t="shared" si="4"/>
        <v>1524.8910186960024</v>
      </c>
      <c r="J33" s="5" t="s">
        <v>47</v>
      </c>
      <c r="K33" s="5" t="str">
        <f t="shared" si="2"/>
        <v>FY2025</v>
      </c>
      <c r="M33" s="897"/>
      <c r="N33" s="897"/>
      <c r="O33" s="897"/>
      <c r="P33" s="897"/>
      <c r="Q33" s="897"/>
      <c r="R33" s="33"/>
    </row>
    <row r="34" spans="2:18" s="5" customFormat="1" ht="12">
      <c r="B34" s="5" t="s">
        <v>68</v>
      </c>
      <c r="C34" s="32">
        <v>907</v>
      </c>
      <c r="D34" s="88">
        <v>153</v>
      </c>
      <c r="E34" s="32">
        <v>548.70154258886657</v>
      </c>
      <c r="F34" s="32">
        <v>404</v>
      </c>
      <c r="G34" s="50">
        <f t="shared" si="0"/>
        <v>174.9864750633981</v>
      </c>
      <c r="H34" s="50">
        <f t="shared" si="1"/>
        <v>1127.6880176522648</v>
      </c>
      <c r="I34" s="91">
        <f t="shared" si="4"/>
        <v>2652.5790363482674</v>
      </c>
      <c r="J34" s="5" t="s">
        <v>47</v>
      </c>
      <c r="K34" s="5" t="str">
        <f t="shared" si="2"/>
        <v>FY2028</v>
      </c>
      <c r="L34" s="53"/>
      <c r="M34" s="897"/>
      <c r="N34" s="897"/>
      <c r="O34" s="897"/>
      <c r="P34" s="897"/>
      <c r="Q34" s="897"/>
      <c r="R34" s="33"/>
    </row>
    <row r="35" spans="2:18" s="5" customFormat="1" ht="12">
      <c r="B35" s="5" t="s">
        <v>69</v>
      </c>
      <c r="C35" s="32">
        <v>6</v>
      </c>
      <c r="D35" s="88">
        <v>3</v>
      </c>
      <c r="E35" s="32">
        <v>0</v>
      </c>
      <c r="F35" s="32">
        <v>0</v>
      </c>
      <c r="G35" s="50">
        <f t="shared" si="0"/>
        <v>3.4311073541842765</v>
      </c>
      <c r="H35" s="50">
        <f t="shared" si="1"/>
        <v>3.4311073541842765</v>
      </c>
      <c r="I35" s="91">
        <f t="shared" si="4"/>
        <v>2656.0101437024518</v>
      </c>
      <c r="J35" s="5" t="s">
        <v>47</v>
      </c>
      <c r="K35" s="5" t="str">
        <f t="shared" si="2"/>
        <v>FY2028</v>
      </c>
      <c r="L35" s="53"/>
      <c r="M35" s="897"/>
      <c r="N35" s="897"/>
      <c r="O35" s="897"/>
      <c r="P35" s="897"/>
      <c r="Q35" s="897"/>
    </row>
    <row r="36" spans="2:18" s="5" customFormat="1" ht="12">
      <c r="B36" s="5" t="s">
        <v>70</v>
      </c>
      <c r="C36" s="32">
        <v>11</v>
      </c>
      <c r="D36" s="88">
        <v>0</v>
      </c>
      <c r="E36" s="32">
        <v>2</v>
      </c>
      <c r="F36" s="32">
        <v>0</v>
      </c>
      <c r="G36" s="50">
        <f t="shared" si="0"/>
        <v>0</v>
      </c>
      <c r="H36" s="50">
        <f t="shared" si="1"/>
        <v>2</v>
      </c>
      <c r="I36" s="91">
        <f t="shared" si="4"/>
        <v>2658.0101437024518</v>
      </c>
      <c r="J36" s="5" t="s">
        <v>47</v>
      </c>
      <c r="K36" s="5" t="str">
        <f t="shared" si="2"/>
        <v>FY2028</v>
      </c>
      <c r="L36" s="53"/>
      <c r="M36" s="897"/>
      <c r="N36" s="897"/>
      <c r="O36" s="897"/>
      <c r="P36" s="897"/>
      <c r="Q36" s="897"/>
      <c r="R36" s="33">
        <f t="shared" ref="R36" si="6">SUM(R23:R34)</f>
        <v>0</v>
      </c>
    </row>
    <row r="37" spans="2:18" s="5" customFormat="1" ht="12">
      <c r="B37" s="5" t="s">
        <v>71</v>
      </c>
      <c r="C37" s="32">
        <v>11</v>
      </c>
      <c r="D37" s="88">
        <v>2</v>
      </c>
      <c r="E37" s="32">
        <v>2</v>
      </c>
      <c r="F37" s="32">
        <v>0</v>
      </c>
      <c r="G37" s="50">
        <f t="shared" si="0"/>
        <v>2.2874049027895178</v>
      </c>
      <c r="H37" s="50">
        <f t="shared" si="1"/>
        <v>4.2874049027895182</v>
      </c>
      <c r="I37" s="91">
        <f t="shared" si="4"/>
        <v>2662.2975486052414</v>
      </c>
      <c r="J37" s="5" t="s">
        <v>47</v>
      </c>
      <c r="K37" s="5" t="str">
        <f t="shared" si="2"/>
        <v>FY2028</v>
      </c>
      <c r="L37" s="53"/>
      <c r="M37" s="54"/>
      <c r="N37" s="32"/>
    </row>
    <row r="38" spans="2:18" s="5" customFormat="1" ht="12">
      <c r="B38" s="5" t="s">
        <v>72</v>
      </c>
      <c r="C38" s="32">
        <v>10</v>
      </c>
      <c r="D38" s="88">
        <v>2</v>
      </c>
      <c r="E38" s="32">
        <v>0</v>
      </c>
      <c r="F38" s="32">
        <v>0</v>
      </c>
      <c r="G38" s="50">
        <f t="shared" si="0"/>
        <v>2.2874049027895178</v>
      </c>
      <c r="H38" s="50">
        <f t="shared" si="1"/>
        <v>2.2874049027895178</v>
      </c>
      <c r="I38" s="91">
        <f t="shared" si="4"/>
        <v>2664.584953508031</v>
      </c>
      <c r="J38" s="5" t="s">
        <v>47</v>
      </c>
      <c r="K38" s="5" t="str">
        <f t="shared" si="2"/>
        <v>FY2028</v>
      </c>
    </row>
    <row r="39" spans="2:18" s="5" customFormat="1" ht="12">
      <c r="B39" s="5" t="s">
        <v>73</v>
      </c>
      <c r="C39" s="32">
        <v>22</v>
      </c>
      <c r="D39" s="88">
        <v>6</v>
      </c>
      <c r="E39" s="32">
        <v>0</v>
      </c>
      <c r="F39" s="32">
        <v>0</v>
      </c>
      <c r="G39" s="50">
        <f t="shared" si="0"/>
        <v>6.862214708368553</v>
      </c>
      <c r="H39" s="50">
        <f t="shared" si="1"/>
        <v>6.862214708368553</v>
      </c>
      <c r="I39" s="91">
        <f t="shared" si="4"/>
        <v>2671.4471682163994</v>
      </c>
      <c r="J39" s="5" t="s">
        <v>47</v>
      </c>
      <c r="K39" s="5" t="str">
        <f t="shared" si="2"/>
        <v>FY2028</v>
      </c>
    </row>
    <row r="40" spans="2:18" s="5" customFormat="1" ht="12">
      <c r="B40" s="5" t="s">
        <v>74</v>
      </c>
      <c r="C40" s="32">
        <v>180</v>
      </c>
      <c r="D40" s="88">
        <v>90</v>
      </c>
      <c r="E40" s="32">
        <v>44</v>
      </c>
      <c r="F40" s="32">
        <v>94</v>
      </c>
      <c r="G40" s="50">
        <f t="shared" si="0"/>
        <v>102.93322062552831</v>
      </c>
      <c r="H40" s="50">
        <f t="shared" si="1"/>
        <v>240.93322062552829</v>
      </c>
      <c r="I40" s="91">
        <f t="shared" si="4"/>
        <v>2912.3803888419279</v>
      </c>
      <c r="J40" s="5" t="s">
        <v>47</v>
      </c>
      <c r="K40" s="5" t="str">
        <f t="shared" si="2"/>
        <v>FY2028</v>
      </c>
    </row>
    <row r="41" spans="2:18" s="5" customFormat="1" ht="12">
      <c r="B41" s="5" t="s">
        <v>75</v>
      </c>
      <c r="C41" s="32">
        <v>37</v>
      </c>
      <c r="D41" s="88">
        <v>19</v>
      </c>
      <c r="E41" s="32">
        <v>0</v>
      </c>
      <c r="F41" s="32">
        <v>22</v>
      </c>
      <c r="G41" s="50">
        <f t="shared" si="0"/>
        <v>21.73034657650042</v>
      </c>
      <c r="H41" s="50">
        <f t="shared" si="1"/>
        <v>43.730346576500423</v>
      </c>
      <c r="I41" s="91">
        <f t="shared" si="4"/>
        <v>2956.1107354184282</v>
      </c>
      <c r="J41" s="5" t="s">
        <v>47</v>
      </c>
      <c r="K41" s="5" t="str">
        <f t="shared" si="2"/>
        <v>FY2028</v>
      </c>
    </row>
    <row r="42" spans="2:18" s="5" customFormat="1" ht="12">
      <c r="B42" s="5" t="s">
        <v>76</v>
      </c>
      <c r="C42" s="32">
        <v>70</v>
      </c>
      <c r="D42" s="88">
        <v>25</v>
      </c>
      <c r="E42" s="32">
        <v>0</v>
      </c>
      <c r="F42" s="32">
        <v>69</v>
      </c>
      <c r="G42" s="50">
        <f t="shared" si="0"/>
        <v>28.592561284868971</v>
      </c>
      <c r="H42" s="50">
        <f t="shared" si="1"/>
        <v>97.592561284868964</v>
      </c>
      <c r="I42" s="91">
        <f t="shared" si="4"/>
        <v>3053.7032967032974</v>
      </c>
      <c r="J42" s="5" t="s">
        <v>47</v>
      </c>
      <c r="K42" s="5" t="str">
        <f t="shared" si="2"/>
        <v>FY2029</v>
      </c>
    </row>
    <row r="43" spans="2:18" s="5" customFormat="1" ht="12">
      <c r="B43" s="5" t="s">
        <v>77</v>
      </c>
      <c r="C43" s="32">
        <v>195</v>
      </c>
      <c r="D43" s="88">
        <v>148</v>
      </c>
      <c r="E43" s="32"/>
      <c r="F43" s="32">
        <v>160</v>
      </c>
      <c r="G43" s="50">
        <f t="shared" si="0"/>
        <v>169.26796280642432</v>
      </c>
      <c r="H43" s="50">
        <f t="shared" si="1"/>
        <v>329.26796280642429</v>
      </c>
      <c r="I43" s="91">
        <f t="shared" si="4"/>
        <v>3382.9712595097217</v>
      </c>
      <c r="J43" s="5" t="s">
        <v>78</v>
      </c>
      <c r="K43" s="5" t="str">
        <f t="shared" si="2"/>
        <v>FY2029</v>
      </c>
    </row>
    <row r="44" spans="2:18" s="5" customFormat="1" ht="12">
      <c r="C44" s="32">
        <f>SUM(C22:C43)</f>
        <v>4027</v>
      </c>
      <c r="D44" s="88">
        <f>SUM(D22:D43)</f>
        <v>473</v>
      </c>
      <c r="E44" s="32">
        <f>SUM(E22:E43)</f>
        <v>1882</v>
      </c>
      <c r="F44" s="32">
        <f>SUM(F22:F43)</f>
        <v>960</v>
      </c>
      <c r="G44" s="32">
        <f>SUM(G22:G43)</f>
        <v>540.97125950972099</v>
      </c>
      <c r="H44" s="32"/>
      <c r="I44" s="32"/>
    </row>
    <row r="45" spans="2:18" s="5" customFormat="1" ht="12">
      <c r="F45" s="33"/>
    </row>
    <row r="46" spans="2:18" s="5" customFormat="1" ht="12">
      <c r="C46" s="33"/>
    </row>
    <row r="47" spans="2:18" s="5" customFormat="1" ht="12">
      <c r="B47" s="55"/>
    </row>
    <row r="48" spans="2:18" s="5" customFormat="1" ht="12">
      <c r="B48" s="45"/>
      <c r="C48" s="45"/>
      <c r="D48" s="45"/>
    </row>
    <row r="49" spans="2:8" s="5" customFormat="1" ht="12">
      <c r="B49" s="45"/>
      <c r="C49" s="45"/>
      <c r="D49" s="45"/>
      <c r="E49" s="32"/>
      <c r="F49" s="32"/>
      <c r="G49" s="32"/>
      <c r="H49" s="32"/>
    </row>
    <row r="50" spans="2:8" s="5" customFormat="1" ht="12">
      <c r="B50" s="45"/>
      <c r="C50" s="45"/>
      <c r="D50" s="45"/>
      <c r="E50" s="32"/>
      <c r="F50" s="32"/>
      <c r="G50" s="32"/>
      <c r="H50" s="32"/>
    </row>
    <row r="51" spans="2:8" s="5" customFormat="1" ht="12">
      <c r="B51" s="45"/>
      <c r="C51" s="56"/>
      <c r="D51" s="56"/>
      <c r="E51" s="32"/>
      <c r="F51" s="32"/>
      <c r="G51" s="32"/>
      <c r="H51" s="32"/>
    </row>
    <row r="52" spans="2:8" s="5" customFormat="1" ht="12">
      <c r="B52" s="45"/>
      <c r="C52" s="56"/>
      <c r="D52" s="56"/>
      <c r="E52" s="32"/>
      <c r="F52" s="32"/>
      <c r="G52" s="32"/>
      <c r="H52" s="32"/>
    </row>
    <row r="53" spans="2:8" s="5" customFormat="1" ht="12">
      <c r="B53" s="45"/>
      <c r="C53" s="57"/>
      <c r="D53" s="57"/>
      <c r="E53" s="32"/>
      <c r="F53" s="32"/>
      <c r="G53" s="32"/>
      <c r="H53" s="32"/>
    </row>
    <row r="54" spans="2:8" s="5" customFormat="1" ht="12">
      <c r="B54" s="45"/>
      <c r="C54" s="56"/>
    </row>
    <row r="55" spans="2:8">
      <c r="B55" s="45"/>
      <c r="C55" s="56"/>
    </row>
    <row r="56" spans="2:8">
      <c r="B56" s="45"/>
      <c r="C56" s="56"/>
    </row>
    <row r="57" spans="2:8">
      <c r="B57" s="45"/>
      <c r="C57" s="56"/>
    </row>
    <row r="58" spans="2:8">
      <c r="C58" s="56"/>
    </row>
  </sheetData>
  <mergeCells count="1">
    <mergeCell ref="M32:Q36"/>
  </mergeCells>
  <conditionalFormatting sqref="S2:S6">
    <cfRule type="cellIs" dxfId="5" priority="1" operator="between">
      <formula>1</formula>
      <formula>9</formula>
    </cfRule>
  </conditionalFormatting>
  <pageMargins left="0.45" right="0.45" top="0.75" bottom="0.75" header="0.3" footer="0.3"/>
  <pageSetup scale="7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4FDE4-580B-46A1-8B3A-F3916A1C1579}">
  <dimension ref="A1:O53"/>
  <sheetViews>
    <sheetView topLeftCell="A21" workbookViewId="0"/>
  </sheetViews>
  <sheetFormatPr defaultColWidth="8.75" defaultRowHeight="12.75"/>
  <cols>
    <col min="1" max="1" width="25.25" style="185" customWidth="1"/>
    <col min="2" max="2" width="9" style="185" bestFit="1" customWidth="1"/>
    <col min="3" max="3" width="8.125" style="185" bestFit="1" customWidth="1"/>
    <col min="4" max="4" width="9" style="185" bestFit="1" customWidth="1"/>
    <col min="5" max="6" width="8.5" style="185" bestFit="1" customWidth="1"/>
    <col min="7" max="11" width="8.75" style="185"/>
    <col min="12" max="12" width="9" style="185" bestFit="1" customWidth="1"/>
    <col min="13" max="16384" width="8.75" style="185"/>
  </cols>
  <sheetData>
    <row r="1" spans="1:15">
      <c r="A1" s="193" t="s">
        <v>321</v>
      </c>
      <c r="B1" s="194"/>
      <c r="C1" s="194"/>
      <c r="D1" s="194"/>
      <c r="E1" s="194"/>
      <c r="F1" s="194"/>
      <c r="G1" s="194"/>
      <c r="H1" s="194"/>
    </row>
    <row r="3" spans="1:15">
      <c r="A3" s="278" t="s">
        <v>274</v>
      </c>
      <c r="B3" s="502"/>
      <c r="C3" s="502"/>
      <c r="D3" s="502"/>
      <c r="E3" s="502"/>
      <c r="F3" s="502"/>
      <c r="G3" s="502"/>
    </row>
    <row r="4" spans="1:15">
      <c r="B4" s="188" t="s">
        <v>322</v>
      </c>
      <c r="C4" s="188"/>
      <c r="D4" s="188"/>
      <c r="E4" s="188" t="s">
        <v>323</v>
      </c>
      <c r="F4" s="188"/>
      <c r="H4" s="188"/>
    </row>
    <row r="5" spans="1:15">
      <c r="B5" s="185" t="s">
        <v>324</v>
      </c>
      <c r="E5" s="185" t="s">
        <v>324</v>
      </c>
    </row>
    <row r="6" spans="1:15">
      <c r="B6" s="185" t="s">
        <v>280</v>
      </c>
      <c r="C6" s="185" t="s">
        <v>325</v>
      </c>
      <c r="D6" s="185" t="s">
        <v>3</v>
      </c>
      <c r="E6" s="185" t="s">
        <v>280</v>
      </c>
      <c r="F6" s="185" t="s">
        <v>325</v>
      </c>
      <c r="G6" s="185" t="s">
        <v>326</v>
      </c>
    </row>
    <row r="7" spans="1:15">
      <c r="A7" s="185" t="s">
        <v>4</v>
      </c>
      <c r="B7" s="503">
        <f>AVERAGE(B16:B22)</f>
        <v>0.38128571428571434</v>
      </c>
      <c r="E7" s="192">
        <f>1/B7</f>
        <v>2.6227051330086173</v>
      </c>
      <c r="F7" s="192"/>
      <c r="H7" s="503"/>
      <c r="I7" s="503"/>
      <c r="J7" s="503"/>
    </row>
    <row r="8" spans="1:15">
      <c r="A8" s="185" t="s">
        <v>5</v>
      </c>
      <c r="B8" s="503">
        <f>AVERAGE(D16:D22)</f>
        <v>0.39428571428571424</v>
      </c>
      <c r="E8" s="192">
        <f t="shared" ref="E8:F9" si="0">1/B8</f>
        <v>2.5362318840579712</v>
      </c>
      <c r="F8" s="192"/>
      <c r="H8" s="503"/>
      <c r="I8" s="503"/>
      <c r="J8" s="503"/>
    </row>
    <row r="9" spans="1:15" ht="15">
      <c r="A9" s="185" t="s">
        <v>327</v>
      </c>
      <c r="B9" s="503">
        <f>AVERAGE(B32:B38)</f>
        <v>0.344411502718936</v>
      </c>
      <c r="C9" s="504">
        <f>AVERAGE(C32:C38)</f>
        <v>0.46686981315407067</v>
      </c>
      <c r="D9" s="503">
        <f>D40</f>
        <v>0.38232275873345356</v>
      </c>
      <c r="E9" s="192">
        <f t="shared" si="0"/>
        <v>2.9035034895918397</v>
      </c>
      <c r="F9" s="192">
        <f t="shared" si="0"/>
        <v>2.1419247332446236</v>
      </c>
      <c r="G9" s="505">
        <f>H40</f>
        <v>2.6309666456448655</v>
      </c>
      <c r="H9" s="503"/>
      <c r="I9" s="503"/>
      <c r="J9" s="503"/>
      <c r="L9" s="506"/>
      <c r="M9" s="507"/>
    </row>
    <row r="10" spans="1:15" ht="15">
      <c r="D10" s="522"/>
      <c r="J10" s="507"/>
      <c r="L10" s="506"/>
      <c r="M10" s="507"/>
    </row>
    <row r="11" spans="1:15">
      <c r="D11" s="522"/>
    </row>
    <row r="12" spans="1:15" ht="15">
      <c r="A12" s="278" t="s">
        <v>328</v>
      </c>
      <c r="B12" s="502"/>
      <c r="C12" s="502"/>
      <c r="D12" s="502"/>
      <c r="E12" s="502"/>
      <c r="F12" s="502"/>
      <c r="G12" s="502"/>
      <c r="H12" s="502"/>
      <c r="I12" s="189"/>
      <c r="J12" s="189"/>
      <c r="L12" s="508"/>
    </row>
    <row r="13" spans="1:15">
      <c r="A13" s="509"/>
      <c r="B13" s="505"/>
      <c r="C13" s="505"/>
      <c r="D13" s="505"/>
      <c r="E13" s="505"/>
      <c r="F13" s="505"/>
      <c r="G13" s="505"/>
      <c r="H13" s="505"/>
      <c r="I13" s="505"/>
    </row>
    <row r="14" spans="1:15">
      <c r="A14" s="186" t="s">
        <v>329</v>
      </c>
      <c r="B14" s="187"/>
      <c r="C14" s="187"/>
      <c r="D14" s="187"/>
      <c r="E14" s="187"/>
      <c r="F14" s="187"/>
      <c r="G14" s="187"/>
      <c r="H14" s="187"/>
      <c r="I14" s="188" t="s">
        <v>330</v>
      </c>
    </row>
    <row r="15" spans="1:15" ht="37.15" customHeight="1">
      <c r="A15" s="510"/>
      <c r="B15" s="279" t="s">
        <v>331</v>
      </c>
      <c r="C15" s="279" t="s">
        <v>332</v>
      </c>
      <c r="D15" s="279" t="s">
        <v>5</v>
      </c>
      <c r="E15" s="188" t="s">
        <v>333</v>
      </c>
      <c r="F15" s="279" t="s">
        <v>334</v>
      </c>
      <c r="G15" s="279" t="s">
        <v>335</v>
      </c>
      <c r="H15" s="279" t="s">
        <v>272</v>
      </c>
      <c r="I15" s="279" t="s">
        <v>331</v>
      </c>
      <c r="J15" s="279" t="s">
        <v>332</v>
      </c>
      <c r="K15" s="279" t="s">
        <v>5</v>
      </c>
      <c r="L15" s="188" t="s">
        <v>333</v>
      </c>
      <c r="M15" s="279" t="s">
        <v>334</v>
      </c>
      <c r="N15" s="279" t="s">
        <v>335</v>
      </c>
      <c r="O15" s="279" t="s">
        <v>272</v>
      </c>
    </row>
    <row r="16" spans="1:15" ht="15">
      <c r="A16" s="511" t="s">
        <v>336</v>
      </c>
      <c r="B16" s="512">
        <v>0.375</v>
      </c>
      <c r="C16" s="512">
        <v>0.25700000000000001</v>
      </c>
      <c r="D16" s="512">
        <v>0.35899999999999999</v>
      </c>
      <c r="E16" s="512">
        <v>0.40799999999999997</v>
      </c>
      <c r="F16" s="512">
        <v>0.5</v>
      </c>
      <c r="G16" s="512">
        <v>0.35</v>
      </c>
      <c r="H16" s="512">
        <v>0.30499999999999999</v>
      </c>
      <c r="I16" s="503">
        <f>1-B16</f>
        <v>0.625</v>
      </c>
      <c r="J16" s="503">
        <f t="shared" ref="J16:O22" si="1">1-C16</f>
        <v>0.74299999999999999</v>
      </c>
      <c r="K16" s="503">
        <f t="shared" si="1"/>
        <v>0.64100000000000001</v>
      </c>
      <c r="L16" s="503">
        <f t="shared" si="1"/>
        <v>0.59200000000000008</v>
      </c>
      <c r="M16" s="503">
        <f t="shared" si="1"/>
        <v>0.5</v>
      </c>
      <c r="N16" s="503">
        <f t="shared" si="1"/>
        <v>0.65</v>
      </c>
      <c r="O16" s="503">
        <f t="shared" si="1"/>
        <v>0.69500000000000006</v>
      </c>
    </row>
    <row r="17" spans="1:15" ht="15">
      <c r="A17" s="511" t="s">
        <v>337</v>
      </c>
      <c r="B17" s="512">
        <v>0.38600000000000001</v>
      </c>
      <c r="C17" s="512">
        <v>0.33700000000000002</v>
      </c>
      <c r="D17" s="512">
        <v>0.35299999999999998</v>
      </c>
      <c r="E17" s="512">
        <v>0.36599999999999999</v>
      </c>
      <c r="F17" s="512">
        <v>0.36299999999999999</v>
      </c>
      <c r="G17" s="512">
        <v>0.34499999999999997</v>
      </c>
      <c r="H17" s="512">
        <v>0.33300000000000002</v>
      </c>
      <c r="I17" s="503">
        <f t="shared" ref="I17:I22" si="2">1-B17</f>
        <v>0.61399999999999999</v>
      </c>
      <c r="J17" s="503">
        <f t="shared" si="1"/>
        <v>0.66300000000000003</v>
      </c>
      <c r="K17" s="503">
        <f t="shared" si="1"/>
        <v>0.64700000000000002</v>
      </c>
      <c r="L17" s="503">
        <f t="shared" si="1"/>
        <v>0.63400000000000001</v>
      </c>
      <c r="M17" s="503">
        <f t="shared" si="1"/>
        <v>0.63700000000000001</v>
      </c>
      <c r="N17" s="503">
        <f t="shared" si="1"/>
        <v>0.65500000000000003</v>
      </c>
      <c r="O17" s="503">
        <f t="shared" si="1"/>
        <v>0.66700000000000004</v>
      </c>
    </row>
    <row r="18" spans="1:15" ht="15">
      <c r="A18" s="511" t="s">
        <v>338</v>
      </c>
      <c r="B18" s="512">
        <v>0.42199999999999999</v>
      </c>
      <c r="C18" s="512">
        <v>0.27600000000000002</v>
      </c>
      <c r="D18" s="512">
        <v>0.35699999999999998</v>
      </c>
      <c r="E18" s="512">
        <v>0.36299999999999999</v>
      </c>
      <c r="F18" s="512">
        <v>0.29399999999999998</v>
      </c>
      <c r="G18" s="512">
        <v>0.34599999999999997</v>
      </c>
      <c r="H18" s="512">
        <v>0.28599999999999998</v>
      </c>
      <c r="I18" s="503">
        <f t="shared" si="2"/>
        <v>0.57800000000000007</v>
      </c>
      <c r="J18" s="503">
        <f t="shared" si="1"/>
        <v>0.72399999999999998</v>
      </c>
      <c r="K18" s="503">
        <f t="shared" si="1"/>
        <v>0.64300000000000002</v>
      </c>
      <c r="L18" s="503">
        <f t="shared" si="1"/>
        <v>0.63700000000000001</v>
      </c>
      <c r="M18" s="503">
        <f t="shared" si="1"/>
        <v>0.70599999999999996</v>
      </c>
      <c r="N18" s="503">
        <f t="shared" si="1"/>
        <v>0.65400000000000003</v>
      </c>
      <c r="O18" s="503">
        <f t="shared" si="1"/>
        <v>0.71399999999999997</v>
      </c>
    </row>
    <row r="19" spans="1:15" ht="15">
      <c r="A19" s="511" t="s">
        <v>339</v>
      </c>
      <c r="B19" s="512">
        <v>0.38800000000000001</v>
      </c>
      <c r="C19" s="512">
        <v>0.28599999999999998</v>
      </c>
      <c r="D19" s="512">
        <v>0.41599999999999998</v>
      </c>
      <c r="E19" s="512">
        <v>0.35399999999999998</v>
      </c>
      <c r="F19" s="512">
        <v>0.35499999999999998</v>
      </c>
      <c r="G19" s="512">
        <v>0.35799999999999998</v>
      </c>
      <c r="H19" s="512">
        <v>0.33300000000000002</v>
      </c>
      <c r="I19" s="503">
        <f t="shared" si="2"/>
        <v>0.61199999999999999</v>
      </c>
      <c r="J19" s="503">
        <f t="shared" si="1"/>
        <v>0.71399999999999997</v>
      </c>
      <c r="K19" s="503">
        <f t="shared" si="1"/>
        <v>0.58400000000000007</v>
      </c>
      <c r="L19" s="503">
        <f t="shared" si="1"/>
        <v>0.64600000000000002</v>
      </c>
      <c r="M19" s="503">
        <f t="shared" si="1"/>
        <v>0.64500000000000002</v>
      </c>
      <c r="N19" s="503">
        <f t="shared" si="1"/>
        <v>0.64200000000000002</v>
      </c>
      <c r="O19" s="503">
        <f t="shared" si="1"/>
        <v>0.66700000000000004</v>
      </c>
    </row>
    <row r="20" spans="1:15" ht="15">
      <c r="A20" s="513" t="s">
        <v>24</v>
      </c>
      <c r="B20" s="514">
        <v>0.36899999999999999</v>
      </c>
      <c r="C20" s="514">
        <v>0.254</v>
      </c>
      <c r="D20" s="514">
        <v>0.443</v>
      </c>
      <c r="E20" s="514">
        <v>0.38</v>
      </c>
      <c r="F20" s="514">
        <v>0.3</v>
      </c>
      <c r="G20" s="514">
        <v>0.37</v>
      </c>
      <c r="H20" s="514">
        <v>0.36</v>
      </c>
      <c r="I20" s="503">
        <f t="shared" si="2"/>
        <v>0.63100000000000001</v>
      </c>
      <c r="J20" s="503">
        <f t="shared" si="1"/>
        <v>0.746</v>
      </c>
      <c r="K20" s="503">
        <f t="shared" si="1"/>
        <v>0.55699999999999994</v>
      </c>
      <c r="L20" s="503">
        <f t="shared" si="1"/>
        <v>0.62</v>
      </c>
      <c r="M20" s="503">
        <f t="shared" si="1"/>
        <v>0.7</v>
      </c>
      <c r="N20" s="503">
        <f t="shared" si="1"/>
        <v>0.63</v>
      </c>
      <c r="O20" s="503">
        <f t="shared" si="1"/>
        <v>0.64</v>
      </c>
    </row>
    <row r="21" spans="1:15" ht="15">
      <c r="A21" s="509" t="s">
        <v>23</v>
      </c>
      <c r="B21" s="514">
        <v>0.36799999999999999</v>
      </c>
      <c r="C21" s="514">
        <v>0.26300000000000001</v>
      </c>
      <c r="D21" s="514">
        <v>0.41199999999999998</v>
      </c>
      <c r="E21" s="514">
        <v>0.35799999999999998</v>
      </c>
      <c r="F21" s="514">
        <v>0.32700000000000001</v>
      </c>
      <c r="G21" s="514">
        <v>0.36899999999999999</v>
      </c>
      <c r="H21" s="514">
        <v>0.33600000000000002</v>
      </c>
      <c r="I21" s="503">
        <f t="shared" si="2"/>
        <v>0.63200000000000001</v>
      </c>
      <c r="J21" s="503">
        <f t="shared" si="1"/>
        <v>0.73699999999999999</v>
      </c>
      <c r="K21" s="503">
        <f t="shared" si="1"/>
        <v>0.58800000000000008</v>
      </c>
      <c r="L21" s="503">
        <f t="shared" si="1"/>
        <v>0.64200000000000002</v>
      </c>
      <c r="M21" s="503">
        <f t="shared" si="1"/>
        <v>0.67300000000000004</v>
      </c>
      <c r="N21" s="503">
        <f t="shared" si="1"/>
        <v>0.63100000000000001</v>
      </c>
      <c r="O21" s="503">
        <f t="shared" si="1"/>
        <v>0.66399999999999992</v>
      </c>
    </row>
    <row r="22" spans="1:15" ht="15">
      <c r="A22" s="509" t="s">
        <v>22</v>
      </c>
      <c r="B22" s="514">
        <v>0.36099999999999999</v>
      </c>
      <c r="C22" s="514">
        <v>0.27200000000000002</v>
      </c>
      <c r="D22" s="514">
        <v>0.42</v>
      </c>
      <c r="E22" s="514">
        <v>0.35899999999999999</v>
      </c>
      <c r="F22" s="514">
        <v>0.29399999999999998</v>
      </c>
      <c r="G22" s="514">
        <v>0.39400000000000002</v>
      </c>
      <c r="H22" s="514">
        <v>0.34</v>
      </c>
      <c r="I22" s="503">
        <f t="shared" si="2"/>
        <v>0.63900000000000001</v>
      </c>
      <c r="J22" s="503">
        <f t="shared" si="1"/>
        <v>0.72799999999999998</v>
      </c>
      <c r="K22" s="503">
        <f t="shared" si="1"/>
        <v>0.58000000000000007</v>
      </c>
      <c r="L22" s="503">
        <f t="shared" si="1"/>
        <v>0.64100000000000001</v>
      </c>
      <c r="M22" s="503">
        <f t="shared" si="1"/>
        <v>0.70599999999999996</v>
      </c>
      <c r="N22" s="503">
        <f t="shared" si="1"/>
        <v>0.60599999999999998</v>
      </c>
      <c r="O22" s="503">
        <f t="shared" si="1"/>
        <v>0.65999999999999992</v>
      </c>
    </row>
    <row r="23" spans="1:15">
      <c r="A23" s="185" t="s">
        <v>340</v>
      </c>
      <c r="B23" s="515" t="s">
        <v>341</v>
      </c>
      <c r="C23" s="516"/>
      <c r="D23" s="516"/>
      <c r="E23" s="516"/>
      <c r="F23" s="516"/>
      <c r="G23" s="516"/>
      <c r="H23" s="516"/>
      <c r="I23" s="505"/>
      <c r="J23" s="517"/>
    </row>
    <row r="24" spans="1:15">
      <c r="B24" s="518" t="s">
        <v>279</v>
      </c>
      <c r="C24" s="505"/>
      <c r="D24" s="505"/>
      <c r="E24" s="505"/>
      <c r="F24" s="505"/>
      <c r="G24" s="505"/>
      <c r="H24" s="505"/>
    </row>
    <row r="25" spans="1:15">
      <c r="B25" s="185" t="s">
        <v>342</v>
      </c>
      <c r="C25" s="505"/>
      <c r="D25" s="505"/>
      <c r="E25" s="505"/>
      <c r="F25" s="505"/>
      <c r="G25" s="505"/>
      <c r="H25" s="505"/>
    </row>
    <row r="26" spans="1:15">
      <c r="B26" s="190" t="s">
        <v>343</v>
      </c>
      <c r="C26" s="505"/>
      <c r="D26" s="505"/>
      <c r="E26" s="505"/>
      <c r="F26" s="505"/>
      <c r="G26" s="505"/>
      <c r="H26" s="505"/>
    </row>
    <row r="27" spans="1:15">
      <c r="B27" s="505"/>
      <c r="C27" s="505"/>
      <c r="D27" s="505"/>
      <c r="E27" s="505"/>
      <c r="F27" s="505"/>
      <c r="G27" s="505"/>
      <c r="H27" s="505"/>
    </row>
    <row r="28" spans="1:15">
      <c r="A28" s="186" t="s">
        <v>344</v>
      </c>
      <c r="B28" s="187"/>
      <c r="C28" s="187"/>
      <c r="D28" s="187"/>
      <c r="E28" s="187"/>
      <c r="F28" s="187"/>
      <c r="G28" s="187"/>
      <c r="H28" s="187"/>
    </row>
    <row r="30" spans="1:15">
      <c r="E30" s="280"/>
      <c r="F30" s="191" t="s">
        <v>345</v>
      </c>
      <c r="G30" s="191"/>
      <c r="H30" s="191"/>
      <c r="I30" s="280"/>
    </row>
    <row r="31" spans="1:15">
      <c r="B31" s="185" t="s">
        <v>346</v>
      </c>
      <c r="C31" s="185" t="s">
        <v>281</v>
      </c>
      <c r="D31" s="185" t="s">
        <v>3</v>
      </c>
      <c r="E31" s="280"/>
      <c r="F31" s="191" t="s">
        <v>346</v>
      </c>
      <c r="G31" s="191" t="s">
        <v>281</v>
      </c>
      <c r="H31" s="191" t="s">
        <v>326</v>
      </c>
      <c r="I31" s="281"/>
    </row>
    <row r="32" spans="1:15">
      <c r="A32" s="185" t="s">
        <v>22</v>
      </c>
      <c r="B32" s="504">
        <v>0.33830664725861231</v>
      </c>
      <c r="C32" s="504">
        <v>0.44110429447852761</v>
      </c>
      <c r="D32" s="504">
        <v>0.35527648369455134</v>
      </c>
      <c r="E32" s="280" t="s">
        <v>22</v>
      </c>
      <c r="F32" s="282">
        <f>1/B32</f>
        <v>2.9558981713875943</v>
      </c>
      <c r="G32" s="282">
        <f>1/C32</f>
        <v>2.267037552155772</v>
      </c>
      <c r="H32" s="282">
        <f t="shared" ref="G32:H40" si="3">1/D32</f>
        <v>2.814709236031927</v>
      </c>
      <c r="I32" s="281"/>
      <c r="J32" s="519"/>
    </row>
    <row r="33" spans="1:10">
      <c r="A33" s="185" t="s">
        <v>23</v>
      </c>
      <c r="B33" s="504">
        <v>0.33118768143380034</v>
      </c>
      <c r="C33" s="504">
        <v>0.43521790341578326</v>
      </c>
      <c r="D33" s="504">
        <v>0.3495478640473963</v>
      </c>
      <c r="E33" s="280" t="s">
        <v>23</v>
      </c>
      <c r="F33" s="282">
        <f t="shared" ref="F33:F38" si="4">1/B33</f>
        <v>3.0194359756097562</v>
      </c>
      <c r="G33" s="282">
        <f t="shared" si="3"/>
        <v>2.2976995940460081</v>
      </c>
      <c r="H33" s="282">
        <f t="shared" si="3"/>
        <v>2.8608385370205176</v>
      </c>
      <c r="I33" s="281"/>
      <c r="J33" s="519"/>
    </row>
    <row r="34" spans="1:10">
      <c r="A34" s="185" t="s">
        <v>24</v>
      </c>
      <c r="B34" s="504">
        <v>0.34163319946452475</v>
      </c>
      <c r="C34" s="504">
        <v>0.45471464019851116</v>
      </c>
      <c r="D34" s="504">
        <v>0.36170447038097336</v>
      </c>
      <c r="E34" s="280" t="s">
        <v>24</v>
      </c>
      <c r="F34" s="282">
        <f t="shared" si="4"/>
        <v>2.927115987460815</v>
      </c>
      <c r="G34" s="282">
        <f t="shared" si="3"/>
        <v>2.1991814461118691</v>
      </c>
      <c r="H34" s="282">
        <f t="shared" si="3"/>
        <v>2.7646879756468796</v>
      </c>
      <c r="I34" s="281"/>
      <c r="J34" s="519"/>
    </row>
    <row r="35" spans="1:10">
      <c r="A35" s="185" t="s">
        <v>25</v>
      </c>
      <c r="B35" s="504">
        <v>0.336587129428778</v>
      </c>
      <c r="C35" s="504">
        <v>0.50083333333333335</v>
      </c>
      <c r="D35" s="504">
        <v>0.38628340897629854</v>
      </c>
      <c r="E35" s="280" t="s">
        <v>25</v>
      </c>
      <c r="F35" s="282">
        <f t="shared" si="4"/>
        <v>2.970998925886144</v>
      </c>
      <c r="G35" s="282">
        <f t="shared" si="3"/>
        <v>1.9966722129783694</v>
      </c>
      <c r="H35" s="282">
        <f t="shared" si="3"/>
        <v>2.5887728459530028</v>
      </c>
      <c r="I35" s="281"/>
      <c r="J35" s="519"/>
    </row>
    <row r="36" spans="1:10">
      <c r="A36" s="185" t="s">
        <v>26</v>
      </c>
      <c r="B36" s="504">
        <v>0.33849821215733017</v>
      </c>
      <c r="C36" s="504">
        <v>0.53814002089864155</v>
      </c>
      <c r="D36" s="504">
        <v>0.4110056925996205</v>
      </c>
      <c r="E36" s="280" t="s">
        <v>26</v>
      </c>
      <c r="F36" s="282">
        <f t="shared" si="4"/>
        <v>2.954225352112676</v>
      </c>
      <c r="G36" s="282">
        <f t="shared" si="3"/>
        <v>1.8582524271844663</v>
      </c>
      <c r="H36" s="282">
        <f t="shared" si="3"/>
        <v>2.4330563250230841</v>
      </c>
      <c r="I36" s="281"/>
      <c r="J36" s="519"/>
    </row>
    <row r="37" spans="1:10">
      <c r="A37" s="185" t="s">
        <v>27</v>
      </c>
      <c r="B37" s="504">
        <v>0.35074626865671643</v>
      </c>
      <c r="C37" s="504">
        <v>0.52392883988975192</v>
      </c>
      <c r="D37" s="504">
        <v>0.43849181160340234</v>
      </c>
      <c r="E37" s="280" t="s">
        <v>27</v>
      </c>
      <c r="F37" s="282">
        <f t="shared" si="4"/>
        <v>2.8510638297872339</v>
      </c>
      <c r="G37" s="282">
        <f t="shared" si="3"/>
        <v>1.9086561453849833</v>
      </c>
      <c r="H37" s="282">
        <f t="shared" si="3"/>
        <v>2.2805442964678631</v>
      </c>
      <c r="I37" s="281"/>
      <c r="J37" s="519"/>
    </row>
    <row r="38" spans="1:10">
      <c r="A38" s="185" t="s">
        <v>28</v>
      </c>
      <c r="B38" s="504">
        <v>0.37392138063279001</v>
      </c>
      <c r="C38" s="504">
        <v>0.37414965986394561</v>
      </c>
      <c r="D38" s="504">
        <v>0.37394957983193278</v>
      </c>
      <c r="E38" s="280" t="s">
        <v>28</v>
      </c>
      <c r="F38" s="282">
        <f t="shared" si="4"/>
        <v>2.6743589743589746</v>
      </c>
      <c r="G38" s="282">
        <f t="shared" si="3"/>
        <v>2.6727272727272724</v>
      </c>
      <c r="H38" s="282">
        <f t="shared" si="3"/>
        <v>2.6741573033707864</v>
      </c>
      <c r="I38" s="281"/>
      <c r="J38" s="519"/>
    </row>
    <row r="39" spans="1:10">
      <c r="A39" s="185" t="s">
        <v>49</v>
      </c>
      <c r="E39" s="280"/>
      <c r="F39" s="191"/>
      <c r="G39" s="191"/>
      <c r="H39" s="191"/>
      <c r="I39" s="281"/>
      <c r="J39" s="519"/>
    </row>
    <row r="40" spans="1:10">
      <c r="A40" s="185" t="s">
        <v>347</v>
      </c>
      <c r="B40" s="504">
        <f>AVERAGE(B32:B38)</f>
        <v>0.344411502718936</v>
      </c>
      <c r="C40" s="504">
        <f>AVERAGE(C32:C38)</f>
        <v>0.46686981315407067</v>
      </c>
      <c r="D40" s="504">
        <f>AVERAGE(D32:D38)</f>
        <v>0.38232275873345356</v>
      </c>
      <c r="E40" s="280"/>
      <c r="F40" s="282">
        <f>AVERAGE(F32:F38)</f>
        <v>2.9075853166575989</v>
      </c>
      <c r="G40" s="282">
        <f t="shared" si="3"/>
        <v>2.1419247332446236</v>
      </c>
      <c r="H40" s="282">
        <f>AVERAGE(H32:H38)</f>
        <v>2.6309666456448655</v>
      </c>
      <c r="I40" s="283"/>
      <c r="J40" s="284"/>
    </row>
    <row r="41" spans="1:10">
      <c r="D41" s="504"/>
      <c r="F41" s="505"/>
      <c r="G41" s="505"/>
      <c r="H41" s="505"/>
      <c r="I41" s="285"/>
      <c r="J41" s="284"/>
    </row>
    <row r="42" spans="1:10">
      <c r="A42" s="185" t="s">
        <v>288</v>
      </c>
      <c r="B42" s="185" t="s">
        <v>348</v>
      </c>
      <c r="D42" s="504"/>
      <c r="F42" s="505"/>
      <c r="G42" s="505"/>
      <c r="H42" s="505"/>
      <c r="I42" s="285"/>
      <c r="J42" s="284"/>
    </row>
    <row r="43" spans="1:10">
      <c r="B43" s="190" t="s">
        <v>349</v>
      </c>
      <c r="D43" s="504"/>
      <c r="F43" s="505"/>
      <c r="G43" s="505"/>
      <c r="H43" s="505"/>
      <c r="I43" s="285"/>
      <c r="J43" s="284"/>
    </row>
    <row r="45" spans="1:10">
      <c r="A45" s="188" t="s">
        <v>350</v>
      </c>
      <c r="C45" s="189"/>
      <c r="D45" s="189"/>
      <c r="E45" s="189"/>
      <c r="F45" s="189"/>
      <c r="G45" s="189"/>
      <c r="H45" s="189"/>
    </row>
    <row r="46" spans="1:10">
      <c r="B46" s="185" t="s">
        <v>346</v>
      </c>
      <c r="C46" s="185" t="s">
        <v>351</v>
      </c>
      <c r="D46" s="189" t="s">
        <v>3</v>
      </c>
      <c r="E46" s="185" t="s">
        <v>346</v>
      </c>
      <c r="F46" s="185" t="s">
        <v>351</v>
      </c>
      <c r="G46" s="189" t="s">
        <v>3</v>
      </c>
    </row>
    <row r="47" spans="1:10" ht="15">
      <c r="A47" s="185" t="s">
        <v>352</v>
      </c>
      <c r="B47" s="506">
        <v>3900</v>
      </c>
      <c r="C47" s="506">
        <v>550</v>
      </c>
      <c r="D47" s="506">
        <f>SUM(B47:C47)</f>
        <v>4450</v>
      </c>
      <c r="E47" s="520">
        <f t="shared" ref="E47:G49" si="5">B47/B$50</f>
        <v>0.37392138063279001</v>
      </c>
      <c r="F47" s="520">
        <f t="shared" si="5"/>
        <v>0.37414965986394561</v>
      </c>
      <c r="G47" s="520">
        <f t="shared" si="5"/>
        <v>0.37394957983193278</v>
      </c>
    </row>
    <row r="48" spans="1:10" ht="15">
      <c r="A48" s="185" t="s">
        <v>353</v>
      </c>
      <c r="B48" s="506">
        <v>2310</v>
      </c>
      <c r="C48" s="506">
        <v>330</v>
      </c>
      <c r="D48" s="506">
        <f t="shared" ref="D48:D50" si="6">SUM(B48:C48)</f>
        <v>2640</v>
      </c>
      <c r="E48" s="520">
        <f t="shared" si="5"/>
        <v>0.22147651006711411</v>
      </c>
      <c r="F48" s="520">
        <f t="shared" si="5"/>
        <v>0.22448979591836735</v>
      </c>
      <c r="G48" s="520">
        <f t="shared" si="5"/>
        <v>0.22184873949579831</v>
      </c>
    </row>
    <row r="49" spans="1:8" ht="15">
      <c r="A49" s="185" t="s">
        <v>354</v>
      </c>
      <c r="B49" s="506">
        <v>4220</v>
      </c>
      <c r="C49" s="506">
        <v>590</v>
      </c>
      <c r="D49" s="506">
        <f t="shared" si="6"/>
        <v>4810</v>
      </c>
      <c r="E49" s="520">
        <f t="shared" si="5"/>
        <v>0.40460210930009588</v>
      </c>
      <c r="F49" s="520">
        <f t="shared" si="5"/>
        <v>0.40136054421768708</v>
      </c>
      <c r="G49" s="520">
        <f t="shared" si="5"/>
        <v>0.40420168067226891</v>
      </c>
    </row>
    <row r="50" spans="1:8" ht="15">
      <c r="B50" s="506">
        <f>SUM(B47:B49)</f>
        <v>10430</v>
      </c>
      <c r="C50" s="506">
        <f>SUM(C47:C49)</f>
        <v>1470</v>
      </c>
      <c r="D50" s="506">
        <f t="shared" si="6"/>
        <v>11900</v>
      </c>
      <c r="E50" s="195"/>
      <c r="F50" s="521"/>
      <c r="G50" s="521"/>
      <c r="H50" s="521"/>
    </row>
    <row r="51" spans="1:8" ht="15">
      <c r="D51" s="189"/>
      <c r="E51" s="195"/>
      <c r="F51" s="521"/>
      <c r="G51" s="521"/>
      <c r="H51" s="521"/>
    </row>
    <row r="52" spans="1:8" ht="15">
      <c r="A52" s="185" t="s">
        <v>288</v>
      </c>
      <c r="B52" s="185" t="s">
        <v>355</v>
      </c>
      <c r="D52" s="189"/>
      <c r="E52" s="195"/>
      <c r="F52" s="521"/>
      <c r="G52" s="521"/>
      <c r="H52" s="521"/>
    </row>
    <row r="53" spans="1:8" ht="15">
      <c r="B53" s="190" t="s">
        <v>356</v>
      </c>
      <c r="C53" s="507"/>
      <c r="D53" s="507"/>
      <c r="E53" s="521"/>
      <c r="F53" s="286"/>
      <c r="G53" s="286"/>
      <c r="H53" s="286"/>
    </row>
  </sheetData>
  <hyperlinks>
    <hyperlink ref="B53" r:id="rId1" xr:uid="{8FA6A623-3D99-4ACB-AE74-ED699A3CF017}"/>
    <hyperlink ref="B26" r:id="rId2" xr:uid="{75EAD5EE-3103-4A12-837E-FFAE1486EFDE}"/>
    <hyperlink ref="B43" r:id="rId3" xr:uid="{E91ECA2F-7FF5-439D-85D4-19364F69C5DB}"/>
    <hyperlink ref="B24" r:id="rId4" xr:uid="{32C05ECF-CD81-49DC-A767-AC553784BA83}"/>
  </hyperlinks>
  <pageMargins left="0.7" right="0.7" top="0.75" bottom="0.75" header="0.3" footer="0.3"/>
  <drawing r:id="rId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649FD-02EA-4046-BE03-91B46A102C86}">
  <dimension ref="B1:AB480"/>
  <sheetViews>
    <sheetView topLeftCell="L11" zoomScale="93" zoomScaleNormal="93" workbookViewId="0">
      <selection activeCell="O30" sqref="O30"/>
    </sheetView>
  </sheetViews>
  <sheetFormatPr defaultRowHeight="14.25"/>
  <cols>
    <col min="1" max="1" width="4.375" customWidth="1"/>
    <col min="2" max="2" width="13.5" customWidth="1"/>
    <col min="3" max="3" width="20.375" customWidth="1"/>
    <col min="7" max="7" width="11.75" customWidth="1"/>
    <col min="8" max="8" width="13.875" customWidth="1"/>
    <col min="10" max="10" width="9.75" customWidth="1"/>
    <col min="11" max="11" width="19" customWidth="1"/>
    <col min="13" max="13" width="36.5" bestFit="1" customWidth="1"/>
    <col min="14" max="14" width="13.25" bestFit="1" customWidth="1"/>
    <col min="15" max="15" width="12.5" bestFit="1" customWidth="1"/>
    <col min="16" max="16" width="15.5" bestFit="1" customWidth="1"/>
    <col min="17" max="18" width="11.375" bestFit="1" customWidth="1"/>
    <col min="19" max="20" width="16.125" bestFit="1" customWidth="1"/>
    <col min="21" max="21" width="35.25" customWidth="1"/>
    <col min="22" max="22" width="8.875" customWidth="1"/>
    <col min="23" max="23" width="7.375" customWidth="1"/>
    <col min="24" max="24" width="8.75" customWidth="1"/>
    <col min="25" max="25" width="9" customWidth="1"/>
    <col min="26" max="26" width="7.75" customWidth="1"/>
    <col min="27" max="55" width="16.125" bestFit="1" customWidth="1"/>
    <col min="56" max="56" width="11.375" bestFit="1" customWidth="1"/>
    <col min="57" max="61" width="1.875" bestFit="1" customWidth="1"/>
    <col min="62" max="62" width="42.625" bestFit="1" customWidth="1"/>
    <col min="63" max="63" width="10.875" bestFit="1" customWidth="1"/>
    <col min="64" max="66" width="1.875" bestFit="1" customWidth="1"/>
    <col min="67" max="67" width="2.875" bestFit="1" customWidth="1"/>
    <col min="68" max="68" width="14.25" bestFit="1" customWidth="1"/>
    <col min="69" max="69" width="13.25" bestFit="1" customWidth="1"/>
    <col min="70" max="70" width="1.875" bestFit="1" customWidth="1"/>
    <col min="71" max="71" width="16.625" bestFit="1" customWidth="1"/>
    <col min="72" max="72" width="11.375" bestFit="1" customWidth="1"/>
  </cols>
  <sheetData>
    <row r="1" spans="2:19" ht="23.25">
      <c r="B1" s="777" t="s">
        <v>674</v>
      </c>
      <c r="C1" s="778"/>
      <c r="D1" s="779"/>
      <c r="E1" s="779"/>
      <c r="F1" s="779"/>
    </row>
    <row r="2" spans="2:19" ht="15">
      <c r="B2" s="778"/>
      <c r="C2" s="778"/>
      <c r="D2" s="779"/>
      <c r="E2" s="779"/>
      <c r="F2" s="779"/>
      <c r="N2" s="168" t="s">
        <v>1126</v>
      </c>
      <c r="O2" s="162"/>
      <c r="P2" s="162"/>
      <c r="Q2" s="162"/>
      <c r="R2" s="162"/>
      <c r="S2" s="162"/>
    </row>
    <row r="3" spans="2:19" ht="25.5">
      <c r="B3" s="492" t="s">
        <v>756</v>
      </c>
      <c r="C3" s="493"/>
      <c r="D3" s="493"/>
      <c r="E3" s="493"/>
      <c r="F3" s="493"/>
      <c r="G3" s="45"/>
      <c r="N3" s="168"/>
      <c r="O3" s="162" t="s">
        <v>3</v>
      </c>
      <c r="P3" s="162" t="s">
        <v>1</v>
      </c>
      <c r="Q3" s="162" t="s">
        <v>2</v>
      </c>
      <c r="R3" s="162" t="s">
        <v>172</v>
      </c>
      <c r="S3" s="162" t="s">
        <v>365</v>
      </c>
    </row>
    <row r="4" spans="2:19" ht="22.5">
      <c r="B4" s="492" t="s">
        <v>431</v>
      </c>
      <c r="C4" s="494" t="s">
        <v>656</v>
      </c>
      <c r="D4" s="495" t="s">
        <v>657</v>
      </c>
      <c r="E4" s="492" t="s">
        <v>1019</v>
      </c>
      <c r="F4" s="494" t="s">
        <v>658</v>
      </c>
      <c r="G4" s="45"/>
      <c r="N4" s="169" t="s">
        <v>7</v>
      </c>
      <c r="O4" s="170">
        <v>8580</v>
      </c>
      <c r="P4">
        <v>4881</v>
      </c>
      <c r="Q4">
        <v>3438</v>
      </c>
      <c r="R4">
        <v>0</v>
      </c>
      <c r="S4" s="170">
        <f>O4-SUM(P4:R4)</f>
        <v>261</v>
      </c>
    </row>
    <row r="5" spans="2:19">
      <c r="B5" s="496" t="s">
        <v>659</v>
      </c>
      <c r="C5" s="497">
        <v>45351</v>
      </c>
      <c r="D5" s="493"/>
      <c r="E5" s="496" t="s">
        <v>660</v>
      </c>
      <c r="F5" s="780" t="s">
        <v>661</v>
      </c>
      <c r="G5" s="45"/>
      <c r="N5" s="169" t="s">
        <v>8</v>
      </c>
      <c r="O5" s="170">
        <v>4634</v>
      </c>
      <c r="P5">
        <v>2545</v>
      </c>
      <c r="Q5">
        <v>1806</v>
      </c>
      <c r="R5">
        <v>0</v>
      </c>
      <c r="S5" s="170">
        <f t="shared" ref="S5:S7" si="0">O5-SUM(P5:R5)</f>
        <v>283</v>
      </c>
    </row>
    <row r="6" spans="2:19">
      <c r="B6" s="496" t="s">
        <v>662</v>
      </c>
      <c r="C6" s="497">
        <v>45551</v>
      </c>
      <c r="D6" s="42" t="s">
        <v>663</v>
      </c>
      <c r="E6" s="496" t="s">
        <v>664</v>
      </c>
      <c r="F6" s="498" t="s">
        <v>665</v>
      </c>
      <c r="G6" s="45"/>
      <c r="N6" s="169" t="s">
        <v>272</v>
      </c>
      <c r="O6" s="170">
        <v>4901</v>
      </c>
      <c r="P6">
        <v>1380</v>
      </c>
      <c r="Q6">
        <v>2971</v>
      </c>
      <c r="R6">
        <v>0</v>
      </c>
      <c r="S6" s="170">
        <f t="shared" si="0"/>
        <v>550</v>
      </c>
    </row>
    <row r="7" spans="2:19">
      <c r="B7" s="496" t="s">
        <v>666</v>
      </c>
      <c r="C7" s="497">
        <v>45565</v>
      </c>
      <c r="D7" s="499" t="s">
        <v>667</v>
      </c>
      <c r="E7" s="496" t="s">
        <v>668</v>
      </c>
      <c r="F7" s="498" t="s">
        <v>278</v>
      </c>
      <c r="G7" s="45"/>
      <c r="N7" s="568" t="s">
        <v>3</v>
      </c>
      <c r="O7" s="170">
        <f>SUM(O4:O6)</f>
        <v>18115</v>
      </c>
      <c r="P7" s="170">
        <f>SUM(P4:P6)</f>
        <v>8806</v>
      </c>
      <c r="Q7" s="170">
        <f t="shared" ref="Q7:R7" si="1">SUM(Q4:Q6)</f>
        <v>8215</v>
      </c>
      <c r="R7" s="170">
        <f t="shared" si="1"/>
        <v>0</v>
      </c>
      <c r="S7" s="170">
        <f t="shared" si="0"/>
        <v>1094</v>
      </c>
    </row>
    <row r="8" spans="2:19">
      <c r="B8" s="496" t="s">
        <v>680</v>
      </c>
      <c r="C8" s="500">
        <v>45587</v>
      </c>
      <c r="D8" s="501" t="s">
        <v>669</v>
      </c>
      <c r="E8" s="496" t="s">
        <v>670</v>
      </c>
      <c r="F8" s="498" t="s">
        <v>671</v>
      </c>
      <c r="G8" s="45"/>
      <c r="N8" s="578" t="s">
        <v>1127</v>
      </c>
      <c r="O8" s="170"/>
      <c r="P8" s="170"/>
      <c r="Q8" s="170"/>
      <c r="R8" s="579"/>
      <c r="S8" s="170"/>
    </row>
    <row r="9" spans="2:19" ht="25.5">
      <c r="B9" s="496" t="s">
        <v>679</v>
      </c>
      <c r="C9" s="500">
        <v>45774</v>
      </c>
      <c r="D9" s="501" t="s">
        <v>672</v>
      </c>
      <c r="E9" s="496" t="s">
        <v>673</v>
      </c>
      <c r="F9" s="498" t="s">
        <v>165</v>
      </c>
      <c r="G9" s="45"/>
      <c r="O9" s="162" t="s">
        <v>3</v>
      </c>
      <c r="P9" s="162" t="s">
        <v>1</v>
      </c>
      <c r="Q9" s="162" t="s">
        <v>2</v>
      </c>
      <c r="R9" s="162" t="s">
        <v>172</v>
      </c>
      <c r="S9" s="162" t="s">
        <v>365</v>
      </c>
    </row>
    <row r="10" spans="2:19">
      <c r="B10" s="496" t="s">
        <v>757</v>
      </c>
      <c r="C10" s="500">
        <v>45939</v>
      </c>
      <c r="D10" s="501"/>
      <c r="E10" s="496" t="s">
        <v>758</v>
      </c>
      <c r="F10" s="498" t="s">
        <v>760</v>
      </c>
      <c r="G10" s="45"/>
      <c r="N10" s="169" t="s">
        <v>7</v>
      </c>
      <c r="O10" s="170">
        <v>1361</v>
      </c>
      <c r="P10">
        <v>855</v>
      </c>
      <c r="Q10">
        <v>405</v>
      </c>
      <c r="S10" s="170">
        <f>O10-SUM(P10:R10)</f>
        <v>101</v>
      </c>
    </row>
    <row r="11" spans="2:19">
      <c r="B11" s="496" t="s">
        <v>681</v>
      </c>
      <c r="C11" s="500">
        <v>46044</v>
      </c>
      <c r="D11" s="501"/>
      <c r="E11" s="496" t="s">
        <v>759</v>
      </c>
      <c r="F11" s="498" t="s">
        <v>892</v>
      </c>
      <c r="G11" s="45"/>
      <c r="N11" s="169" t="s">
        <v>8</v>
      </c>
      <c r="O11" s="170">
        <v>1344</v>
      </c>
      <c r="P11">
        <v>776</v>
      </c>
      <c r="Q11">
        <v>426</v>
      </c>
      <c r="S11" s="170">
        <f t="shared" ref="S11:S13" si="2">O11-SUM(P11:R11)</f>
        <v>142</v>
      </c>
    </row>
    <row r="12" spans="2:19">
      <c r="B12" s="45"/>
      <c r="C12" s="45"/>
      <c r="D12" s="45"/>
      <c r="E12" s="45"/>
      <c r="F12" s="45"/>
      <c r="G12" s="45"/>
      <c r="N12" s="169" t="s">
        <v>272</v>
      </c>
      <c r="O12" s="170">
        <v>854</v>
      </c>
      <c r="P12">
        <v>267</v>
      </c>
      <c r="Q12">
        <v>437</v>
      </c>
      <c r="S12" s="170">
        <f t="shared" si="2"/>
        <v>150</v>
      </c>
    </row>
    <row r="13" spans="2:19">
      <c r="N13" s="568" t="s">
        <v>3</v>
      </c>
      <c r="O13" s="170">
        <f>SUM(O10:O12)</f>
        <v>3559</v>
      </c>
      <c r="P13" s="170">
        <f t="shared" ref="P13:R13" si="3">SUM(P10:P12)</f>
        <v>1898</v>
      </c>
      <c r="Q13" s="170">
        <f t="shared" si="3"/>
        <v>1268</v>
      </c>
      <c r="R13" s="170">
        <f t="shared" si="3"/>
        <v>0</v>
      </c>
      <c r="S13" s="170">
        <f t="shared" si="2"/>
        <v>393</v>
      </c>
    </row>
    <row r="14" spans="2:19" ht="15">
      <c r="B14" s="1" t="s">
        <v>1020</v>
      </c>
    </row>
    <row r="15" spans="2:19" ht="15">
      <c r="B15" s="1"/>
    </row>
    <row r="16" spans="2:19">
      <c r="B16" s="105" t="s">
        <v>283</v>
      </c>
    </row>
    <row r="17" spans="2:28">
      <c r="B17" s="105" t="s">
        <v>284</v>
      </c>
    </row>
    <row r="18" spans="2:28">
      <c r="B18" s="105" t="s">
        <v>1021</v>
      </c>
    </row>
    <row r="19" spans="2:28">
      <c r="B19" s="345" t="s">
        <v>1096</v>
      </c>
    </row>
    <row r="20" spans="2:28">
      <c r="B20" s="345" t="s">
        <v>1125</v>
      </c>
      <c r="V20" s="4"/>
      <c r="W20" s="4"/>
      <c r="X20" s="4"/>
      <c r="Y20" s="4"/>
    </row>
    <row r="21" spans="2:28">
      <c r="B21" s="345"/>
      <c r="U21" s="883"/>
      <c r="V21" s="883"/>
      <c r="W21" s="883"/>
      <c r="X21" s="883"/>
      <c r="Y21" s="883"/>
      <c r="Z21" s="883"/>
      <c r="AA21" s="883"/>
      <c r="AB21" s="883"/>
    </row>
    <row r="22" spans="2:28">
      <c r="B22" s="345"/>
      <c r="U22" s="883"/>
      <c r="V22" s="883"/>
      <c r="W22" s="883"/>
      <c r="X22" s="883"/>
      <c r="Y22" s="883"/>
      <c r="Z22" s="883"/>
      <c r="AA22" s="883"/>
      <c r="AB22" s="883"/>
    </row>
    <row r="23" spans="2:28" ht="15">
      <c r="B23" s="1" t="s">
        <v>1022</v>
      </c>
      <c r="C23" s="1" t="s">
        <v>585</v>
      </c>
      <c r="D23" s="1" t="s">
        <v>1023</v>
      </c>
      <c r="E23" s="1" t="s">
        <v>4</v>
      </c>
      <c r="F23" s="1" t="s">
        <v>5</v>
      </c>
      <c r="G23" s="1" t="s">
        <v>1024</v>
      </c>
      <c r="H23" s="1" t="s">
        <v>333</v>
      </c>
      <c r="I23" s="1" t="s">
        <v>361</v>
      </c>
      <c r="J23" s="1" t="s">
        <v>332</v>
      </c>
      <c r="K23" s="1" t="s">
        <v>1025</v>
      </c>
      <c r="M23" s="781" t="s">
        <v>585</v>
      </c>
      <c r="N23" t="s">
        <v>1031</v>
      </c>
      <c r="U23" s="883"/>
      <c r="V23" s="883"/>
      <c r="W23" s="883"/>
      <c r="X23" s="883"/>
      <c r="Y23" s="883"/>
      <c r="Z23" s="883"/>
      <c r="AA23" s="883"/>
      <c r="AB23" s="883"/>
    </row>
    <row r="24" spans="2:28">
      <c r="B24" t="s">
        <v>363</v>
      </c>
      <c r="C24" s="837">
        <v>44651</v>
      </c>
      <c r="D24" t="s">
        <v>172</v>
      </c>
      <c r="E24">
        <v>0</v>
      </c>
      <c r="F24">
        <v>0</v>
      </c>
      <c r="G24">
        <v>0</v>
      </c>
      <c r="H24">
        <v>0</v>
      </c>
      <c r="I24">
        <v>0</v>
      </c>
      <c r="J24">
        <v>0</v>
      </c>
      <c r="K24">
        <v>0</v>
      </c>
      <c r="M24" s="781" t="s">
        <v>1022</v>
      </c>
      <c r="N24" t="s">
        <v>1031</v>
      </c>
      <c r="U24" s="883"/>
      <c r="V24" s="883"/>
      <c r="W24" s="883"/>
      <c r="X24" s="883"/>
      <c r="Y24" s="883"/>
      <c r="Z24" s="883"/>
      <c r="AA24" s="883"/>
      <c r="AB24" s="883"/>
    </row>
    <row r="25" spans="2:28">
      <c r="B25" t="s">
        <v>362</v>
      </c>
      <c r="C25" s="837">
        <v>44681</v>
      </c>
      <c r="D25" t="s">
        <v>357</v>
      </c>
      <c r="E25">
        <v>0</v>
      </c>
      <c r="F25">
        <v>0</v>
      </c>
      <c r="G25">
        <v>1</v>
      </c>
      <c r="H25">
        <v>0</v>
      </c>
      <c r="I25">
        <v>0</v>
      </c>
      <c r="J25">
        <v>0</v>
      </c>
      <c r="K25">
        <v>1</v>
      </c>
      <c r="Q25" t="s">
        <v>3</v>
      </c>
      <c r="S25" t="s">
        <v>1105</v>
      </c>
      <c r="U25" s="883"/>
      <c r="V25" s="883"/>
      <c r="W25" s="883"/>
      <c r="X25" s="883"/>
      <c r="Y25" s="883"/>
      <c r="Z25" s="883" t="s">
        <v>1079</v>
      </c>
      <c r="AA25" s="883"/>
      <c r="AB25" s="883"/>
    </row>
    <row r="26" spans="2:28" ht="15">
      <c r="B26" t="s">
        <v>363</v>
      </c>
      <c r="C26" s="837">
        <v>44681</v>
      </c>
      <c r="D26" t="s">
        <v>357</v>
      </c>
      <c r="E26">
        <v>0</v>
      </c>
      <c r="F26">
        <v>0</v>
      </c>
      <c r="G26">
        <v>0</v>
      </c>
      <c r="H26">
        <v>0</v>
      </c>
      <c r="I26">
        <v>0</v>
      </c>
      <c r="J26">
        <v>0</v>
      </c>
      <c r="K26">
        <v>0</v>
      </c>
      <c r="M26" s="781" t="s">
        <v>1027</v>
      </c>
      <c r="N26" t="s">
        <v>1028</v>
      </c>
      <c r="O26" t="s">
        <v>1029</v>
      </c>
      <c r="P26" t="s">
        <v>1030</v>
      </c>
      <c r="Q26" s="1"/>
      <c r="S26" s="486">
        <v>800000</v>
      </c>
      <c r="U26" s="883"/>
      <c r="V26" s="883" t="s">
        <v>898</v>
      </c>
      <c r="W26" s="883" t="s">
        <v>1118</v>
      </c>
      <c r="X26" s="883"/>
      <c r="Y26" s="883"/>
      <c r="Z26" s="883" t="s">
        <v>719</v>
      </c>
      <c r="AA26" s="884" t="s">
        <v>1119</v>
      </c>
      <c r="AB26" s="883"/>
    </row>
    <row r="27" spans="2:28">
      <c r="B27" t="s">
        <v>362</v>
      </c>
      <c r="C27" s="837">
        <v>44681</v>
      </c>
      <c r="D27" t="s">
        <v>358</v>
      </c>
      <c r="E27">
        <v>0</v>
      </c>
      <c r="F27">
        <v>1</v>
      </c>
      <c r="G27">
        <v>0</v>
      </c>
      <c r="H27">
        <v>0</v>
      </c>
      <c r="I27">
        <v>0</v>
      </c>
      <c r="J27">
        <v>0</v>
      </c>
      <c r="K27">
        <v>0</v>
      </c>
      <c r="M27" s="129" t="s">
        <v>357</v>
      </c>
      <c r="N27">
        <v>3438</v>
      </c>
      <c r="O27">
        <v>1806</v>
      </c>
      <c r="P27">
        <v>2971</v>
      </c>
      <c r="Q27">
        <f t="shared" ref="Q27:Q33" si="4">SUM(N27:P27)</f>
        <v>8215</v>
      </c>
      <c r="S27" s="486">
        <f>Q27*$S$26</f>
        <v>6572000000</v>
      </c>
      <c r="U27" s="883" t="s">
        <v>4</v>
      </c>
      <c r="V27" s="883">
        <f>GETPIVOTDATA("Sum of China",$M$26,"TEA","Rural Area")</f>
        <v>4881</v>
      </c>
      <c r="W27" s="883">
        <f>V27*2</f>
        <v>9762</v>
      </c>
      <c r="X27" s="883" t="s">
        <v>4</v>
      </c>
      <c r="Y27" s="883"/>
      <c r="Z27" s="883">
        <v>1181</v>
      </c>
      <c r="AA27" s="883">
        <f>W27-Z27</f>
        <v>8581</v>
      </c>
      <c r="AB27" s="883"/>
    </row>
    <row r="28" spans="2:28">
      <c r="B28" t="s">
        <v>363</v>
      </c>
      <c r="C28" s="837">
        <v>44681</v>
      </c>
      <c r="D28" t="s">
        <v>358</v>
      </c>
      <c r="E28">
        <v>0</v>
      </c>
      <c r="F28">
        <v>0</v>
      </c>
      <c r="G28">
        <v>0</v>
      </c>
      <c r="H28">
        <v>0</v>
      </c>
      <c r="I28">
        <v>0</v>
      </c>
      <c r="J28">
        <v>0</v>
      </c>
      <c r="K28">
        <v>0</v>
      </c>
      <c r="M28" s="129" t="s">
        <v>172</v>
      </c>
      <c r="N28">
        <v>0</v>
      </c>
      <c r="O28">
        <v>0</v>
      </c>
      <c r="P28">
        <v>0</v>
      </c>
      <c r="Q28">
        <f t="shared" si="4"/>
        <v>0</v>
      </c>
      <c r="S28" s="486">
        <f t="shared" ref="S28:S32" si="5">Q28*$S$26</f>
        <v>0</v>
      </c>
      <c r="U28" s="883" t="s">
        <v>5</v>
      </c>
      <c r="V28" s="883">
        <f>GETPIVOTDATA("Sum of India",$M$26,"TEA","Rural Area")</f>
        <v>2545</v>
      </c>
      <c r="W28" s="883">
        <f t="shared" ref="W28:W30" si="6">V28*2</f>
        <v>5090</v>
      </c>
      <c r="X28" s="883" t="s">
        <v>5</v>
      </c>
      <c r="Y28" s="883"/>
      <c r="Z28" s="883">
        <v>833</v>
      </c>
      <c r="AA28" s="883">
        <f t="shared" ref="AA28:AA29" si="7">W28-Z28</f>
        <v>4257</v>
      </c>
      <c r="AB28" s="883"/>
    </row>
    <row r="29" spans="2:28">
      <c r="B29" t="s">
        <v>362</v>
      </c>
      <c r="C29" s="837">
        <v>44681</v>
      </c>
      <c r="D29" t="s">
        <v>359</v>
      </c>
      <c r="E29">
        <v>0</v>
      </c>
      <c r="F29">
        <v>0</v>
      </c>
      <c r="G29">
        <v>0</v>
      </c>
      <c r="H29">
        <v>0</v>
      </c>
      <c r="I29">
        <v>0</v>
      </c>
      <c r="J29">
        <v>0</v>
      </c>
      <c r="K29">
        <v>0</v>
      </c>
      <c r="M29" s="129" t="s">
        <v>360</v>
      </c>
      <c r="N29">
        <v>75</v>
      </c>
      <c r="O29">
        <v>45</v>
      </c>
      <c r="P29">
        <v>164</v>
      </c>
      <c r="Q29">
        <f t="shared" si="4"/>
        <v>284</v>
      </c>
      <c r="S29" s="486">
        <f>Q29*$S$26</f>
        <v>227200000</v>
      </c>
      <c r="U29" s="883" t="s">
        <v>6</v>
      </c>
      <c r="V29" s="883">
        <f>GETPIVOTDATA("Sum of All ROW",$M$26,"TEA","Rural Area")</f>
        <v>1380</v>
      </c>
      <c r="W29" s="883">
        <f t="shared" si="6"/>
        <v>2760</v>
      </c>
      <c r="X29" s="883" t="s">
        <v>6</v>
      </c>
      <c r="Y29" s="883"/>
      <c r="Z29" s="883">
        <v>248</v>
      </c>
      <c r="AA29" s="883">
        <f t="shared" si="7"/>
        <v>2512</v>
      </c>
      <c r="AB29" s="883"/>
    </row>
    <row r="30" spans="2:28">
      <c r="B30" t="s">
        <v>363</v>
      </c>
      <c r="C30" s="837">
        <v>44681</v>
      </c>
      <c r="D30" t="s">
        <v>359</v>
      </c>
      <c r="E30">
        <v>0</v>
      </c>
      <c r="F30">
        <v>0</v>
      </c>
      <c r="G30">
        <v>0</v>
      </c>
      <c r="H30">
        <v>0</v>
      </c>
      <c r="I30">
        <v>0</v>
      </c>
      <c r="J30">
        <v>0</v>
      </c>
      <c r="K30">
        <v>0</v>
      </c>
      <c r="M30" s="129" t="s">
        <v>358</v>
      </c>
      <c r="N30">
        <v>4881</v>
      </c>
      <c r="O30">
        <v>2545</v>
      </c>
      <c r="P30">
        <v>1380</v>
      </c>
      <c r="Q30">
        <f t="shared" si="4"/>
        <v>8806</v>
      </c>
      <c r="S30" s="486">
        <f t="shared" si="5"/>
        <v>7044800000</v>
      </c>
      <c r="U30" s="883" t="s">
        <v>3</v>
      </c>
      <c r="V30" s="883">
        <f>SUM(V27:V29)</f>
        <v>8806</v>
      </c>
      <c r="W30" s="883">
        <f t="shared" si="6"/>
        <v>17612</v>
      </c>
      <c r="X30" s="883"/>
      <c r="Y30" s="883"/>
      <c r="Z30" s="883">
        <v>2262</v>
      </c>
      <c r="AA30" s="883">
        <f>W30-Z30</f>
        <v>15350</v>
      </c>
      <c r="AB30" s="883"/>
    </row>
    <row r="31" spans="2:28">
      <c r="B31" t="s">
        <v>362</v>
      </c>
      <c r="C31" s="837">
        <v>44681</v>
      </c>
      <c r="D31" t="s">
        <v>360</v>
      </c>
      <c r="E31">
        <v>2</v>
      </c>
      <c r="F31">
        <v>2</v>
      </c>
      <c r="G31">
        <v>5</v>
      </c>
      <c r="H31">
        <v>0</v>
      </c>
      <c r="I31">
        <v>0</v>
      </c>
      <c r="J31">
        <v>0</v>
      </c>
      <c r="K31">
        <v>5</v>
      </c>
      <c r="M31" s="129" t="s">
        <v>359</v>
      </c>
      <c r="N31">
        <v>120</v>
      </c>
      <c r="O31">
        <v>167</v>
      </c>
      <c r="P31">
        <v>98</v>
      </c>
      <c r="Q31">
        <f t="shared" si="4"/>
        <v>385</v>
      </c>
      <c r="S31" s="486">
        <f t="shared" si="5"/>
        <v>308000000</v>
      </c>
      <c r="U31" s="883"/>
      <c r="V31" s="883"/>
      <c r="W31" s="883"/>
      <c r="X31" s="883"/>
      <c r="Y31" s="883"/>
      <c r="Z31" s="883"/>
      <c r="AA31" s="883"/>
      <c r="AB31" s="883"/>
    </row>
    <row r="32" spans="2:28">
      <c r="B32" t="s">
        <v>363</v>
      </c>
      <c r="C32" s="837">
        <v>44681</v>
      </c>
      <c r="D32" t="s">
        <v>360</v>
      </c>
      <c r="E32">
        <v>0</v>
      </c>
      <c r="F32">
        <v>0</v>
      </c>
      <c r="G32">
        <v>0</v>
      </c>
      <c r="H32">
        <v>0</v>
      </c>
      <c r="I32">
        <v>0</v>
      </c>
      <c r="J32">
        <v>0</v>
      </c>
      <c r="K32">
        <v>0</v>
      </c>
      <c r="M32" s="129" t="s">
        <v>364</v>
      </c>
      <c r="N32">
        <v>58</v>
      </c>
      <c r="O32">
        <v>56</v>
      </c>
      <c r="P32">
        <v>180</v>
      </c>
      <c r="Q32">
        <f t="shared" si="4"/>
        <v>294</v>
      </c>
      <c r="S32" s="486">
        <f t="shared" si="5"/>
        <v>235200000</v>
      </c>
      <c r="U32" s="883"/>
      <c r="V32" s="883"/>
      <c r="W32" s="883"/>
      <c r="X32" s="883"/>
      <c r="Y32" s="883"/>
      <c r="Z32" s="883"/>
      <c r="AA32" s="883"/>
      <c r="AB32" s="883"/>
    </row>
    <row r="33" spans="2:28">
      <c r="B33" t="s">
        <v>363</v>
      </c>
      <c r="C33" s="837">
        <v>44681</v>
      </c>
      <c r="D33" t="s">
        <v>172</v>
      </c>
      <c r="E33">
        <v>0</v>
      </c>
      <c r="F33">
        <v>0</v>
      </c>
      <c r="G33">
        <v>0</v>
      </c>
      <c r="H33">
        <v>0</v>
      </c>
      <c r="I33">
        <v>0</v>
      </c>
      <c r="J33">
        <v>0</v>
      </c>
      <c r="K33">
        <v>0</v>
      </c>
      <c r="M33" s="129" t="s">
        <v>0</v>
      </c>
      <c r="N33">
        <v>8</v>
      </c>
      <c r="O33">
        <v>15</v>
      </c>
      <c r="P33">
        <v>108</v>
      </c>
      <c r="Q33">
        <f t="shared" si="4"/>
        <v>131</v>
      </c>
      <c r="S33" s="486">
        <f>Q33*$S$26</f>
        <v>104800000</v>
      </c>
      <c r="U33" s="883"/>
      <c r="V33" s="883"/>
      <c r="W33" s="883"/>
      <c r="X33" s="883"/>
      <c r="Y33" s="883"/>
      <c r="Z33" s="883"/>
      <c r="AA33" s="883"/>
      <c r="AB33" s="883"/>
    </row>
    <row r="34" spans="2:28">
      <c r="B34" t="s">
        <v>362</v>
      </c>
      <c r="C34" s="837">
        <v>44712</v>
      </c>
      <c r="D34" t="s">
        <v>357</v>
      </c>
      <c r="E34">
        <v>2</v>
      </c>
      <c r="F34">
        <v>0</v>
      </c>
      <c r="G34">
        <v>0</v>
      </c>
      <c r="H34">
        <v>0</v>
      </c>
      <c r="I34">
        <v>0</v>
      </c>
      <c r="J34">
        <v>0</v>
      </c>
      <c r="K34">
        <v>0</v>
      </c>
      <c r="M34" s="129" t="s">
        <v>276</v>
      </c>
      <c r="N34">
        <v>8580</v>
      </c>
      <c r="O34">
        <v>4634</v>
      </c>
      <c r="P34">
        <v>4901</v>
      </c>
      <c r="Q34">
        <f>SUM(Q27:Q33)</f>
        <v>18115</v>
      </c>
      <c r="S34" s="486">
        <f>Q34*$S$26</f>
        <v>14492000000</v>
      </c>
    </row>
    <row r="35" spans="2:28">
      <c r="B35" t="s">
        <v>363</v>
      </c>
      <c r="C35" s="837">
        <v>44712</v>
      </c>
      <c r="D35" t="s">
        <v>357</v>
      </c>
      <c r="E35">
        <v>0</v>
      </c>
      <c r="F35">
        <v>0</v>
      </c>
      <c r="G35">
        <v>0</v>
      </c>
      <c r="H35">
        <v>0</v>
      </c>
      <c r="I35">
        <v>0</v>
      </c>
      <c r="J35">
        <v>0</v>
      </c>
      <c r="K35">
        <v>0</v>
      </c>
    </row>
    <row r="36" spans="2:28">
      <c r="B36" t="s">
        <v>362</v>
      </c>
      <c r="C36" s="837">
        <v>44712</v>
      </c>
      <c r="D36" t="s">
        <v>358</v>
      </c>
      <c r="E36">
        <v>0</v>
      </c>
      <c r="F36">
        <v>1</v>
      </c>
      <c r="G36">
        <v>0</v>
      </c>
      <c r="H36">
        <v>0</v>
      </c>
      <c r="I36">
        <v>0</v>
      </c>
      <c r="J36">
        <v>0</v>
      </c>
      <c r="K36">
        <v>0</v>
      </c>
      <c r="O36">
        <f>GETPIVOTDATA("Sum of India",$M$26,"TEA","Unreserved")/GETPIVOTDATA("Sum of India",$M$26)</f>
        <v>3.2369443245576176E-3</v>
      </c>
    </row>
    <row r="37" spans="2:28">
      <c r="B37" t="s">
        <v>363</v>
      </c>
      <c r="C37" s="837">
        <v>44712</v>
      </c>
      <c r="D37" t="s">
        <v>358</v>
      </c>
      <c r="E37">
        <v>0</v>
      </c>
      <c r="F37">
        <v>0</v>
      </c>
      <c r="G37">
        <v>0</v>
      </c>
      <c r="H37">
        <v>0</v>
      </c>
      <c r="I37">
        <v>0</v>
      </c>
      <c r="J37">
        <v>0</v>
      </c>
      <c r="K37">
        <v>0</v>
      </c>
    </row>
    <row r="38" spans="2:28">
      <c r="B38" t="s">
        <v>362</v>
      </c>
      <c r="C38" s="837">
        <v>44712</v>
      </c>
      <c r="D38" t="s">
        <v>359</v>
      </c>
      <c r="E38">
        <v>0</v>
      </c>
      <c r="F38">
        <v>0</v>
      </c>
      <c r="G38">
        <v>0</v>
      </c>
      <c r="H38">
        <v>0</v>
      </c>
      <c r="I38">
        <v>0</v>
      </c>
      <c r="J38">
        <v>0</v>
      </c>
      <c r="K38">
        <v>0</v>
      </c>
    </row>
    <row r="39" spans="2:28">
      <c r="B39" t="s">
        <v>363</v>
      </c>
      <c r="C39" s="837">
        <v>44712</v>
      </c>
      <c r="D39" t="s">
        <v>359</v>
      </c>
      <c r="E39">
        <v>0</v>
      </c>
      <c r="F39">
        <v>0</v>
      </c>
      <c r="G39">
        <v>0</v>
      </c>
      <c r="H39">
        <v>0</v>
      </c>
      <c r="I39">
        <v>0</v>
      </c>
      <c r="J39">
        <v>0</v>
      </c>
      <c r="K39">
        <v>0</v>
      </c>
    </row>
    <row r="40" spans="2:28">
      <c r="B40" t="s">
        <v>362</v>
      </c>
      <c r="C40" s="837">
        <v>44712</v>
      </c>
      <c r="D40" t="s">
        <v>360</v>
      </c>
      <c r="E40">
        <v>9</v>
      </c>
      <c r="F40">
        <v>0</v>
      </c>
      <c r="G40">
        <v>0</v>
      </c>
      <c r="H40">
        <v>0</v>
      </c>
      <c r="I40">
        <v>0</v>
      </c>
      <c r="J40">
        <v>0</v>
      </c>
      <c r="K40">
        <v>0</v>
      </c>
    </row>
    <row r="41" spans="2:28">
      <c r="B41" t="s">
        <v>363</v>
      </c>
      <c r="C41" s="837">
        <v>44712</v>
      </c>
      <c r="D41" t="s">
        <v>360</v>
      </c>
      <c r="E41">
        <v>0</v>
      </c>
      <c r="F41">
        <v>0</v>
      </c>
      <c r="G41">
        <v>0</v>
      </c>
      <c r="H41">
        <v>0</v>
      </c>
      <c r="I41">
        <v>0</v>
      </c>
      <c r="J41">
        <v>0</v>
      </c>
      <c r="K41">
        <v>0</v>
      </c>
    </row>
    <row r="42" spans="2:28">
      <c r="B42" t="s">
        <v>363</v>
      </c>
      <c r="C42" s="837">
        <v>44712</v>
      </c>
      <c r="D42" t="s">
        <v>172</v>
      </c>
      <c r="E42">
        <v>0</v>
      </c>
      <c r="F42">
        <v>0</v>
      </c>
      <c r="G42">
        <v>0</v>
      </c>
      <c r="H42">
        <v>0</v>
      </c>
      <c r="I42">
        <v>0</v>
      </c>
      <c r="J42">
        <v>0</v>
      </c>
      <c r="K42">
        <v>0</v>
      </c>
    </row>
    <row r="43" spans="2:28">
      <c r="B43" t="s">
        <v>362</v>
      </c>
      <c r="C43" s="837">
        <v>44742</v>
      </c>
      <c r="D43" t="s">
        <v>357</v>
      </c>
      <c r="E43">
        <v>0</v>
      </c>
      <c r="F43">
        <v>3</v>
      </c>
      <c r="G43">
        <v>0</v>
      </c>
      <c r="H43">
        <v>0</v>
      </c>
      <c r="I43">
        <v>0</v>
      </c>
      <c r="J43">
        <v>0</v>
      </c>
      <c r="K43">
        <v>0</v>
      </c>
    </row>
    <row r="44" spans="2:28">
      <c r="B44" t="s">
        <v>363</v>
      </c>
      <c r="C44" s="837">
        <v>44742</v>
      </c>
      <c r="D44" t="s">
        <v>357</v>
      </c>
      <c r="E44">
        <v>0</v>
      </c>
      <c r="F44">
        <v>0</v>
      </c>
      <c r="G44">
        <v>0</v>
      </c>
      <c r="H44">
        <v>0</v>
      </c>
      <c r="I44">
        <v>0</v>
      </c>
      <c r="J44">
        <v>0</v>
      </c>
      <c r="K44">
        <v>0</v>
      </c>
    </row>
    <row r="45" spans="2:28">
      <c r="B45" t="s">
        <v>362</v>
      </c>
      <c r="C45" s="837">
        <v>44742</v>
      </c>
      <c r="D45" t="s">
        <v>358</v>
      </c>
      <c r="E45">
        <v>0</v>
      </c>
      <c r="F45">
        <v>0</v>
      </c>
      <c r="G45">
        <v>0</v>
      </c>
      <c r="H45">
        <v>0</v>
      </c>
      <c r="I45">
        <v>0</v>
      </c>
      <c r="J45">
        <v>0</v>
      </c>
      <c r="K45">
        <v>0</v>
      </c>
    </row>
    <row r="46" spans="2:28" ht="15">
      <c r="B46" t="s">
        <v>363</v>
      </c>
      <c r="C46" s="837">
        <v>44742</v>
      </c>
      <c r="D46" t="s">
        <v>358</v>
      </c>
      <c r="E46">
        <v>0</v>
      </c>
      <c r="F46">
        <v>0</v>
      </c>
      <c r="G46">
        <v>0</v>
      </c>
      <c r="H46">
        <v>0</v>
      </c>
      <c r="I46">
        <v>0</v>
      </c>
      <c r="J46">
        <v>0</v>
      </c>
      <c r="K46">
        <v>0</v>
      </c>
      <c r="U46" s="1" t="s">
        <v>1136</v>
      </c>
    </row>
    <row r="47" spans="2:28" ht="15">
      <c r="B47" t="s">
        <v>362</v>
      </c>
      <c r="C47" s="837">
        <v>44742</v>
      </c>
      <c r="D47" t="s">
        <v>359</v>
      </c>
      <c r="E47">
        <v>0</v>
      </c>
      <c r="F47">
        <v>0</v>
      </c>
      <c r="G47">
        <v>0</v>
      </c>
      <c r="H47">
        <v>0</v>
      </c>
      <c r="I47">
        <v>0</v>
      </c>
      <c r="J47">
        <v>0</v>
      </c>
      <c r="K47">
        <v>0</v>
      </c>
      <c r="U47" s="1" t="s">
        <v>1023</v>
      </c>
      <c r="V47" s="885" t="s">
        <v>4</v>
      </c>
      <c r="W47" s="885" t="s">
        <v>5</v>
      </c>
      <c r="X47" s="885" t="s">
        <v>6</v>
      </c>
      <c r="Y47" s="885" t="s">
        <v>3</v>
      </c>
      <c r="Z47" s="885" t="s">
        <v>1097</v>
      </c>
    </row>
    <row r="48" spans="2:28">
      <c r="B48" t="s">
        <v>363</v>
      </c>
      <c r="C48" s="837">
        <v>44742</v>
      </c>
      <c r="D48" t="s">
        <v>359</v>
      </c>
      <c r="E48">
        <v>0</v>
      </c>
      <c r="F48">
        <v>0</v>
      </c>
      <c r="G48">
        <v>0</v>
      </c>
      <c r="H48">
        <v>0</v>
      </c>
      <c r="I48">
        <v>0</v>
      </c>
      <c r="J48">
        <v>0</v>
      </c>
      <c r="K48">
        <v>0</v>
      </c>
      <c r="U48" t="s">
        <v>357</v>
      </c>
      <c r="V48" s="365">
        <v>215</v>
      </c>
      <c r="W48" s="365">
        <v>209</v>
      </c>
      <c r="X48" s="365">
        <v>204</v>
      </c>
      <c r="Y48" s="365">
        <f>SUM(V48:X48)</f>
        <v>628</v>
      </c>
      <c r="Z48" s="366">
        <f>Y48/$Y$54</f>
        <v>0.35440180586907449</v>
      </c>
    </row>
    <row r="49" spans="2:26">
      <c r="B49" t="s">
        <v>362</v>
      </c>
      <c r="C49" s="837">
        <v>44742</v>
      </c>
      <c r="D49" t="s">
        <v>360</v>
      </c>
      <c r="E49">
        <v>0</v>
      </c>
      <c r="F49">
        <v>1</v>
      </c>
      <c r="G49">
        <v>4</v>
      </c>
      <c r="H49">
        <v>0</v>
      </c>
      <c r="I49">
        <v>0</v>
      </c>
      <c r="J49">
        <v>0</v>
      </c>
      <c r="K49">
        <v>4</v>
      </c>
      <c r="U49" t="s">
        <v>172</v>
      </c>
      <c r="V49" s="365">
        <v>0</v>
      </c>
      <c r="W49" s="365">
        <v>0</v>
      </c>
      <c r="X49" s="365">
        <v>0</v>
      </c>
      <c r="Y49" s="365">
        <f t="shared" ref="Y49:Y53" si="8">SUM(V49:X49)</f>
        <v>0</v>
      </c>
      <c r="Z49" s="366">
        <f t="shared" ref="Z49:Z53" si="9">Y49/$Y$54</f>
        <v>0</v>
      </c>
    </row>
    <row r="50" spans="2:26">
      <c r="B50" t="s">
        <v>363</v>
      </c>
      <c r="C50" s="837">
        <v>44742</v>
      </c>
      <c r="D50" t="s">
        <v>360</v>
      </c>
      <c r="E50">
        <v>0</v>
      </c>
      <c r="F50">
        <v>0</v>
      </c>
      <c r="G50">
        <v>0</v>
      </c>
      <c r="H50">
        <v>0</v>
      </c>
      <c r="I50">
        <v>0</v>
      </c>
      <c r="J50">
        <v>0</v>
      </c>
      <c r="K50">
        <v>0</v>
      </c>
      <c r="U50" t="s">
        <v>358</v>
      </c>
      <c r="V50" s="365">
        <v>420</v>
      </c>
      <c r="W50" s="365">
        <v>358</v>
      </c>
      <c r="X50" s="365">
        <v>124</v>
      </c>
      <c r="Y50" s="365">
        <f t="shared" si="8"/>
        <v>902</v>
      </c>
      <c r="Z50" s="366">
        <f t="shared" si="9"/>
        <v>0.50902934537246047</v>
      </c>
    </row>
    <row r="51" spans="2:26">
      <c r="B51" t="s">
        <v>363</v>
      </c>
      <c r="C51" s="837">
        <v>44742</v>
      </c>
      <c r="D51" t="s">
        <v>172</v>
      </c>
      <c r="E51">
        <v>0</v>
      </c>
      <c r="F51">
        <v>0</v>
      </c>
      <c r="G51">
        <v>0</v>
      </c>
      <c r="H51">
        <v>0</v>
      </c>
      <c r="I51">
        <v>0</v>
      </c>
      <c r="J51">
        <v>0</v>
      </c>
      <c r="K51">
        <v>0</v>
      </c>
      <c r="U51" t="s">
        <v>359</v>
      </c>
      <c r="V51" s="365">
        <v>50</v>
      </c>
      <c r="W51" s="365">
        <v>76</v>
      </c>
      <c r="X51" s="365">
        <v>27</v>
      </c>
      <c r="Y51" s="365">
        <f t="shared" si="8"/>
        <v>153</v>
      </c>
      <c r="Z51" s="366">
        <f t="shared" si="9"/>
        <v>8.6343115124153505E-2</v>
      </c>
    </row>
    <row r="52" spans="2:26">
      <c r="B52" t="s">
        <v>362</v>
      </c>
      <c r="C52" s="837">
        <v>44773</v>
      </c>
      <c r="D52" t="s">
        <v>357</v>
      </c>
      <c r="E52">
        <v>0</v>
      </c>
      <c r="F52">
        <v>0</v>
      </c>
      <c r="G52">
        <v>0</v>
      </c>
      <c r="H52">
        <v>0</v>
      </c>
      <c r="I52">
        <v>0</v>
      </c>
      <c r="J52">
        <v>0</v>
      </c>
      <c r="K52">
        <v>0</v>
      </c>
      <c r="U52" t="s">
        <v>364</v>
      </c>
      <c r="V52" s="365">
        <v>19</v>
      </c>
      <c r="W52" s="365">
        <v>19</v>
      </c>
      <c r="X52" s="365">
        <v>34</v>
      </c>
      <c r="Y52" s="365">
        <f t="shared" si="8"/>
        <v>72</v>
      </c>
      <c r="Z52" s="366">
        <f t="shared" si="9"/>
        <v>4.0632054176072234E-2</v>
      </c>
    </row>
    <row r="53" spans="2:26" ht="16.5">
      <c r="B53" t="s">
        <v>363</v>
      </c>
      <c r="C53" s="837">
        <v>44773</v>
      </c>
      <c r="D53" t="s">
        <v>357</v>
      </c>
      <c r="E53">
        <v>0</v>
      </c>
      <c r="F53">
        <v>0</v>
      </c>
      <c r="G53">
        <v>0</v>
      </c>
      <c r="H53">
        <v>0</v>
      </c>
      <c r="I53">
        <v>0</v>
      </c>
      <c r="J53">
        <v>0</v>
      </c>
      <c r="K53">
        <v>0</v>
      </c>
      <c r="U53" t="s">
        <v>0</v>
      </c>
      <c r="V53" s="886">
        <v>2</v>
      </c>
      <c r="W53" s="886">
        <v>2</v>
      </c>
      <c r="X53" s="886">
        <v>13</v>
      </c>
      <c r="Y53" s="886">
        <f t="shared" si="8"/>
        <v>17</v>
      </c>
      <c r="Z53" s="366">
        <f t="shared" si="9"/>
        <v>9.5936794582392772E-3</v>
      </c>
    </row>
    <row r="54" spans="2:26">
      <c r="B54" t="s">
        <v>362</v>
      </c>
      <c r="C54" s="837">
        <v>44773</v>
      </c>
      <c r="D54" t="s">
        <v>358</v>
      </c>
      <c r="E54">
        <v>0</v>
      </c>
      <c r="F54">
        <v>0</v>
      </c>
      <c r="G54">
        <v>0</v>
      </c>
      <c r="H54">
        <v>0</v>
      </c>
      <c r="I54">
        <v>0</v>
      </c>
      <c r="J54">
        <v>0</v>
      </c>
      <c r="K54">
        <v>0</v>
      </c>
      <c r="U54" t="s">
        <v>3</v>
      </c>
      <c r="V54" s="365">
        <f>SUM(V48:V53)</f>
        <v>706</v>
      </c>
      <c r="W54" s="365">
        <f t="shared" ref="W54:Y54" si="10">SUM(W48:W53)</f>
        <v>664</v>
      </c>
      <c r="X54" s="365">
        <f t="shared" si="10"/>
        <v>402</v>
      </c>
      <c r="Y54" s="365">
        <f t="shared" si="10"/>
        <v>1772</v>
      </c>
      <c r="Z54" s="366">
        <f>Y54/$Y$65</f>
        <v>1.0039660056657225</v>
      </c>
    </row>
    <row r="55" spans="2:26">
      <c r="B55" t="s">
        <v>363</v>
      </c>
      <c r="C55" s="837">
        <v>44773</v>
      </c>
      <c r="D55" t="s">
        <v>358</v>
      </c>
      <c r="E55">
        <v>0</v>
      </c>
      <c r="F55">
        <v>1</v>
      </c>
      <c r="G55">
        <v>0</v>
      </c>
      <c r="H55">
        <v>0</v>
      </c>
      <c r="I55">
        <v>0</v>
      </c>
      <c r="J55">
        <v>0</v>
      </c>
      <c r="K55">
        <v>0</v>
      </c>
      <c r="U55" t="s">
        <v>1097</v>
      </c>
      <c r="V55" s="366">
        <f>V54/$Y$54</f>
        <v>0.39841986455981943</v>
      </c>
      <c r="W55" s="366">
        <f t="shared" ref="W55:X55" si="11">W54/$Y$54</f>
        <v>0.37471783295711059</v>
      </c>
      <c r="X55" s="366">
        <f t="shared" si="11"/>
        <v>0.22686230248306999</v>
      </c>
      <c r="Y55" s="366">
        <f>Y54/$Y$54</f>
        <v>1</v>
      </c>
    </row>
    <row r="56" spans="2:26">
      <c r="B56" t="s">
        <v>362</v>
      </c>
      <c r="C56" s="837">
        <v>44773</v>
      </c>
      <c r="D56" t="s">
        <v>359</v>
      </c>
      <c r="E56">
        <v>0</v>
      </c>
      <c r="F56">
        <v>0</v>
      </c>
      <c r="G56">
        <v>0</v>
      </c>
      <c r="H56">
        <v>0</v>
      </c>
      <c r="I56">
        <v>0</v>
      </c>
      <c r="J56">
        <v>0</v>
      </c>
      <c r="K56">
        <v>0</v>
      </c>
    </row>
    <row r="57" spans="2:26" ht="15">
      <c r="B57" t="s">
        <v>363</v>
      </c>
      <c r="C57" s="837">
        <v>44773</v>
      </c>
      <c r="D57" t="s">
        <v>359</v>
      </c>
      <c r="E57">
        <v>0</v>
      </c>
      <c r="F57">
        <v>0</v>
      </c>
      <c r="G57">
        <v>0</v>
      </c>
      <c r="H57">
        <v>0</v>
      </c>
      <c r="I57">
        <v>0</v>
      </c>
      <c r="J57">
        <v>0</v>
      </c>
      <c r="K57">
        <v>0</v>
      </c>
      <c r="U57" s="1" t="s">
        <v>1137</v>
      </c>
    </row>
    <row r="58" spans="2:26" ht="15">
      <c r="B58" t="s">
        <v>362</v>
      </c>
      <c r="C58" s="837">
        <v>44773</v>
      </c>
      <c r="D58" t="s">
        <v>360</v>
      </c>
      <c r="E58">
        <v>3</v>
      </c>
      <c r="F58">
        <v>0</v>
      </c>
      <c r="G58">
        <v>4</v>
      </c>
      <c r="H58">
        <v>0</v>
      </c>
      <c r="I58">
        <v>0</v>
      </c>
      <c r="J58">
        <v>0</v>
      </c>
      <c r="K58">
        <v>4</v>
      </c>
      <c r="U58" s="1" t="s">
        <v>1023</v>
      </c>
      <c r="V58" s="885" t="s">
        <v>4</v>
      </c>
      <c r="W58" s="885" t="s">
        <v>5</v>
      </c>
      <c r="X58" s="885" t="s">
        <v>6</v>
      </c>
      <c r="Y58" s="885" t="s">
        <v>3</v>
      </c>
      <c r="Z58" s="885" t="s">
        <v>1097</v>
      </c>
    </row>
    <row r="59" spans="2:26">
      <c r="B59" t="s">
        <v>363</v>
      </c>
      <c r="C59" s="837">
        <v>44773</v>
      </c>
      <c r="D59" t="s">
        <v>360</v>
      </c>
      <c r="E59">
        <v>0</v>
      </c>
      <c r="F59">
        <v>0</v>
      </c>
      <c r="G59">
        <v>0</v>
      </c>
      <c r="H59">
        <v>0</v>
      </c>
      <c r="I59">
        <v>0</v>
      </c>
      <c r="J59">
        <v>0</v>
      </c>
      <c r="K59">
        <v>0</v>
      </c>
      <c r="U59" t="s">
        <v>357</v>
      </c>
      <c r="V59" s="365">
        <v>187</v>
      </c>
      <c r="W59" s="365">
        <v>213</v>
      </c>
      <c r="X59" s="365">
        <v>230</v>
      </c>
      <c r="Y59" s="365">
        <f>SUM(V59:X59)</f>
        <v>630</v>
      </c>
      <c r="Z59" s="366">
        <f t="shared" ref="Z59:Z65" si="12">Y59/$Y$65</f>
        <v>0.35694050991501414</v>
      </c>
    </row>
    <row r="60" spans="2:26">
      <c r="B60" t="s">
        <v>363</v>
      </c>
      <c r="C60" s="837">
        <v>44773</v>
      </c>
      <c r="D60" t="s">
        <v>172</v>
      </c>
      <c r="E60">
        <v>0</v>
      </c>
      <c r="F60">
        <v>0</v>
      </c>
      <c r="G60">
        <v>0</v>
      </c>
      <c r="H60">
        <v>0</v>
      </c>
      <c r="I60">
        <v>0</v>
      </c>
      <c r="J60">
        <v>0</v>
      </c>
      <c r="K60">
        <v>0</v>
      </c>
      <c r="U60" t="s">
        <v>172</v>
      </c>
      <c r="V60" s="365">
        <v>0</v>
      </c>
      <c r="W60" s="365">
        <v>0</v>
      </c>
      <c r="X60" s="365">
        <v>0</v>
      </c>
      <c r="Y60" s="365">
        <f t="shared" ref="Y60:Y64" si="13">SUM(V60:X60)</f>
        <v>0</v>
      </c>
      <c r="Z60" s="366">
        <f t="shared" si="12"/>
        <v>0</v>
      </c>
    </row>
    <row r="61" spans="2:26">
      <c r="B61" t="s">
        <v>362</v>
      </c>
      <c r="C61" s="837">
        <v>44804</v>
      </c>
      <c r="D61" t="s">
        <v>357</v>
      </c>
      <c r="E61">
        <v>0</v>
      </c>
      <c r="F61">
        <v>0</v>
      </c>
      <c r="G61">
        <v>0</v>
      </c>
      <c r="H61">
        <v>0</v>
      </c>
      <c r="I61">
        <v>0</v>
      </c>
      <c r="J61">
        <v>0</v>
      </c>
      <c r="K61">
        <v>0</v>
      </c>
      <c r="U61" t="s">
        <v>358</v>
      </c>
      <c r="V61" s="365">
        <v>433</v>
      </c>
      <c r="W61" s="365">
        <v>411</v>
      </c>
      <c r="X61" s="365">
        <v>144</v>
      </c>
      <c r="Y61" s="365">
        <f t="shared" si="13"/>
        <v>988</v>
      </c>
      <c r="Z61" s="366">
        <f t="shared" si="12"/>
        <v>0.55977337110481584</v>
      </c>
    </row>
    <row r="62" spans="2:26">
      <c r="B62" t="s">
        <v>363</v>
      </c>
      <c r="C62" s="837">
        <v>44804</v>
      </c>
      <c r="D62" t="s">
        <v>357</v>
      </c>
      <c r="E62">
        <v>28</v>
      </c>
      <c r="F62">
        <v>11</v>
      </c>
      <c r="G62">
        <v>12</v>
      </c>
      <c r="H62">
        <v>0</v>
      </c>
      <c r="I62">
        <v>6</v>
      </c>
      <c r="J62">
        <v>1</v>
      </c>
      <c r="K62">
        <v>5</v>
      </c>
      <c r="U62" t="s">
        <v>359</v>
      </c>
      <c r="V62" s="365">
        <v>26</v>
      </c>
      <c r="W62" s="365">
        <v>42</v>
      </c>
      <c r="X62" s="365">
        <v>21</v>
      </c>
      <c r="Y62" s="365">
        <f t="shared" si="13"/>
        <v>89</v>
      </c>
      <c r="Z62" s="366">
        <f t="shared" si="12"/>
        <v>5.0424929178470253E-2</v>
      </c>
    </row>
    <row r="63" spans="2:26">
      <c r="B63" t="s">
        <v>362</v>
      </c>
      <c r="C63" s="837">
        <v>44804</v>
      </c>
      <c r="D63" t="s">
        <v>358</v>
      </c>
      <c r="E63">
        <v>0</v>
      </c>
      <c r="F63">
        <v>1</v>
      </c>
      <c r="G63">
        <v>0</v>
      </c>
      <c r="H63">
        <v>0</v>
      </c>
      <c r="I63">
        <v>0</v>
      </c>
      <c r="J63">
        <v>0</v>
      </c>
      <c r="K63">
        <v>0</v>
      </c>
      <c r="U63" t="s">
        <v>364</v>
      </c>
      <c r="V63" s="365">
        <v>2</v>
      </c>
      <c r="W63" s="365">
        <v>1</v>
      </c>
      <c r="X63" s="365">
        <v>38</v>
      </c>
      <c r="Y63" s="365">
        <f t="shared" si="13"/>
        <v>41</v>
      </c>
      <c r="Z63" s="366">
        <f t="shared" si="12"/>
        <v>2.3229461756373939E-2</v>
      </c>
    </row>
    <row r="64" spans="2:26" ht="16.5">
      <c r="B64" t="s">
        <v>363</v>
      </c>
      <c r="C64" s="837">
        <v>44804</v>
      </c>
      <c r="D64" t="s">
        <v>358</v>
      </c>
      <c r="E64">
        <v>0</v>
      </c>
      <c r="F64">
        <v>5</v>
      </c>
      <c r="G64">
        <v>8</v>
      </c>
      <c r="H64">
        <v>3</v>
      </c>
      <c r="I64">
        <v>5</v>
      </c>
      <c r="J64">
        <v>0</v>
      </c>
      <c r="K64">
        <v>0</v>
      </c>
      <c r="U64" t="s">
        <v>0</v>
      </c>
      <c r="V64" s="886">
        <v>1</v>
      </c>
      <c r="W64" s="886">
        <v>1</v>
      </c>
      <c r="X64" s="886">
        <v>15</v>
      </c>
      <c r="Y64" s="886">
        <f t="shared" si="13"/>
        <v>17</v>
      </c>
      <c r="Z64" s="887">
        <f t="shared" si="12"/>
        <v>9.6317280453257787E-3</v>
      </c>
    </row>
    <row r="65" spans="2:26">
      <c r="B65" t="s">
        <v>362</v>
      </c>
      <c r="C65" s="837">
        <v>44804</v>
      </c>
      <c r="D65" t="s">
        <v>359</v>
      </c>
      <c r="E65">
        <v>0</v>
      </c>
      <c r="F65">
        <v>0</v>
      </c>
      <c r="G65">
        <v>0</v>
      </c>
      <c r="H65">
        <v>0</v>
      </c>
      <c r="I65">
        <v>0</v>
      </c>
      <c r="J65">
        <v>0</v>
      </c>
      <c r="K65">
        <v>0</v>
      </c>
      <c r="U65" t="s">
        <v>3</v>
      </c>
      <c r="V65" s="365">
        <f>SUM(V59:V64)</f>
        <v>649</v>
      </c>
      <c r="W65" s="365">
        <f t="shared" ref="W65:Y65" si="14">SUM(W59:W64)</f>
        <v>668</v>
      </c>
      <c r="X65" s="365">
        <f t="shared" si="14"/>
        <v>448</v>
      </c>
      <c r="Y65" s="365">
        <f t="shared" si="14"/>
        <v>1765</v>
      </c>
      <c r="Z65" s="366">
        <f t="shared" si="12"/>
        <v>1</v>
      </c>
    </row>
    <row r="66" spans="2:26">
      <c r="B66" t="s">
        <v>363</v>
      </c>
      <c r="C66" s="837">
        <v>44804</v>
      </c>
      <c r="D66" t="s">
        <v>359</v>
      </c>
      <c r="E66">
        <v>0</v>
      </c>
      <c r="F66">
        <v>0</v>
      </c>
      <c r="G66">
        <v>0</v>
      </c>
      <c r="H66">
        <v>0</v>
      </c>
      <c r="I66">
        <v>0</v>
      </c>
      <c r="J66">
        <v>0</v>
      </c>
      <c r="K66">
        <v>0</v>
      </c>
      <c r="U66" t="s">
        <v>1097</v>
      </c>
      <c r="V66" s="366">
        <f>V65/$Y$65</f>
        <v>0.36770538243626061</v>
      </c>
      <c r="W66" s="366">
        <f>W65/$Y$65</f>
        <v>0.37847025495750708</v>
      </c>
      <c r="X66" s="366">
        <f>X65/$Y$65</f>
        <v>0.25382436260623231</v>
      </c>
      <c r="Y66" s="366">
        <f>Y65/$Y$65</f>
        <v>1</v>
      </c>
    </row>
    <row r="67" spans="2:26">
      <c r="B67" t="s">
        <v>362</v>
      </c>
      <c r="C67" s="837">
        <v>44804</v>
      </c>
      <c r="D67" t="s">
        <v>360</v>
      </c>
      <c r="E67">
        <v>1</v>
      </c>
      <c r="F67">
        <v>1</v>
      </c>
      <c r="G67">
        <v>7</v>
      </c>
      <c r="H67">
        <v>0</v>
      </c>
      <c r="I67">
        <v>0</v>
      </c>
      <c r="J67">
        <v>0</v>
      </c>
      <c r="K67">
        <v>7</v>
      </c>
    </row>
    <row r="68" spans="2:26" ht="15">
      <c r="B68" t="s">
        <v>363</v>
      </c>
      <c r="C68" s="837">
        <v>44804</v>
      </c>
      <c r="D68" t="s">
        <v>360</v>
      </c>
      <c r="E68">
        <v>0</v>
      </c>
      <c r="F68">
        <v>0</v>
      </c>
      <c r="G68">
        <v>0</v>
      </c>
      <c r="H68">
        <v>0</v>
      </c>
      <c r="I68">
        <v>0</v>
      </c>
      <c r="J68">
        <v>0</v>
      </c>
      <c r="K68">
        <v>0</v>
      </c>
      <c r="U68" s="1" t="s">
        <v>1138</v>
      </c>
    </row>
    <row r="69" spans="2:26" ht="15">
      <c r="B69" t="s">
        <v>363</v>
      </c>
      <c r="C69" s="837">
        <v>44804</v>
      </c>
      <c r="D69" t="s">
        <v>172</v>
      </c>
      <c r="E69">
        <v>0</v>
      </c>
      <c r="F69">
        <v>0</v>
      </c>
      <c r="G69">
        <v>0</v>
      </c>
      <c r="H69">
        <v>0</v>
      </c>
      <c r="I69">
        <v>0</v>
      </c>
      <c r="J69">
        <v>0</v>
      </c>
      <c r="K69">
        <v>0</v>
      </c>
      <c r="U69" s="1" t="s">
        <v>1023</v>
      </c>
      <c r="V69" s="885" t="s">
        <v>4</v>
      </c>
      <c r="W69" s="885" t="s">
        <v>5</v>
      </c>
      <c r="X69" s="885" t="s">
        <v>6</v>
      </c>
      <c r="Y69" s="885" t="s">
        <v>3</v>
      </c>
      <c r="Z69" s="885" t="s">
        <v>1097</v>
      </c>
    </row>
    <row r="70" spans="2:26">
      <c r="B70" t="s">
        <v>362</v>
      </c>
      <c r="C70" s="837">
        <v>44834</v>
      </c>
      <c r="D70" t="s">
        <v>357</v>
      </c>
      <c r="E70">
        <v>0</v>
      </c>
      <c r="F70">
        <v>0</v>
      </c>
      <c r="G70">
        <v>0</v>
      </c>
      <c r="H70">
        <v>0</v>
      </c>
      <c r="I70">
        <v>0</v>
      </c>
      <c r="J70">
        <v>0</v>
      </c>
      <c r="K70">
        <v>0</v>
      </c>
      <c r="U70" t="s">
        <v>357</v>
      </c>
      <c r="V70">
        <v>3438</v>
      </c>
      <c r="W70">
        <v>1806</v>
      </c>
      <c r="X70">
        <v>2971</v>
      </c>
      <c r="Y70" s="365">
        <f>SUM(V70:X70)</f>
        <v>8215</v>
      </c>
      <c r="Z70" s="366">
        <f t="shared" ref="Z70:Z77" si="15">Y70/$Y$77</f>
        <v>0.45349158156224123</v>
      </c>
    </row>
    <row r="71" spans="2:26">
      <c r="B71" t="s">
        <v>363</v>
      </c>
      <c r="C71" s="837">
        <v>44834</v>
      </c>
      <c r="D71" t="s">
        <v>357</v>
      </c>
      <c r="E71">
        <v>52</v>
      </c>
      <c r="F71">
        <v>36</v>
      </c>
      <c r="G71">
        <v>99</v>
      </c>
      <c r="H71">
        <v>27</v>
      </c>
      <c r="I71">
        <v>20</v>
      </c>
      <c r="J71">
        <v>18</v>
      </c>
      <c r="K71">
        <v>34</v>
      </c>
      <c r="U71" t="s">
        <v>172</v>
      </c>
      <c r="V71">
        <v>0</v>
      </c>
      <c r="W71">
        <v>0</v>
      </c>
      <c r="X71">
        <v>0</v>
      </c>
      <c r="Y71" s="365">
        <f t="shared" ref="Y71:Y76" si="16">SUM(V71:X71)</f>
        <v>0</v>
      </c>
      <c r="Z71" s="366">
        <f t="shared" si="15"/>
        <v>0</v>
      </c>
    </row>
    <row r="72" spans="2:26">
      <c r="B72" t="s">
        <v>362</v>
      </c>
      <c r="C72" s="837">
        <v>44834</v>
      </c>
      <c r="D72" t="s">
        <v>358</v>
      </c>
      <c r="E72">
        <v>0</v>
      </c>
      <c r="F72">
        <v>0</v>
      </c>
      <c r="G72">
        <v>1</v>
      </c>
      <c r="H72">
        <v>0</v>
      </c>
      <c r="I72">
        <v>0</v>
      </c>
      <c r="J72">
        <v>0</v>
      </c>
      <c r="K72">
        <v>1</v>
      </c>
      <c r="U72" t="s">
        <v>360</v>
      </c>
      <c r="V72">
        <v>75</v>
      </c>
      <c r="W72">
        <v>45</v>
      </c>
      <c r="X72">
        <v>164</v>
      </c>
      <c r="Y72" s="365">
        <f t="shared" si="16"/>
        <v>284</v>
      </c>
      <c r="Z72" s="366">
        <f t="shared" si="15"/>
        <v>1.5677615235992273E-2</v>
      </c>
    </row>
    <row r="73" spans="2:26">
      <c r="B73" t="s">
        <v>363</v>
      </c>
      <c r="C73" s="837">
        <v>44834</v>
      </c>
      <c r="D73" t="s">
        <v>358</v>
      </c>
      <c r="E73">
        <v>43</v>
      </c>
      <c r="F73">
        <v>11</v>
      </c>
      <c r="G73">
        <v>12</v>
      </c>
      <c r="H73">
        <v>2</v>
      </c>
      <c r="I73">
        <v>2</v>
      </c>
      <c r="J73">
        <v>3</v>
      </c>
      <c r="K73">
        <v>5</v>
      </c>
      <c r="U73" t="s">
        <v>358</v>
      </c>
      <c r="V73">
        <v>4881</v>
      </c>
      <c r="W73">
        <v>2545</v>
      </c>
      <c r="X73">
        <v>1380</v>
      </c>
      <c r="Y73" s="365">
        <f t="shared" si="16"/>
        <v>8806</v>
      </c>
      <c r="Z73" s="366">
        <f t="shared" si="15"/>
        <v>0.48611647805685898</v>
      </c>
    </row>
    <row r="74" spans="2:26">
      <c r="B74" t="s">
        <v>362</v>
      </c>
      <c r="C74" s="837">
        <v>44834</v>
      </c>
      <c r="D74" t="s">
        <v>359</v>
      </c>
      <c r="E74">
        <v>0</v>
      </c>
      <c r="F74">
        <v>0</v>
      </c>
      <c r="G74">
        <v>0</v>
      </c>
      <c r="H74">
        <v>0</v>
      </c>
      <c r="I74">
        <v>0</v>
      </c>
      <c r="J74">
        <v>0</v>
      </c>
      <c r="K74">
        <v>0</v>
      </c>
      <c r="U74" t="s">
        <v>359</v>
      </c>
      <c r="V74">
        <v>120</v>
      </c>
      <c r="W74">
        <v>167</v>
      </c>
      <c r="X74">
        <v>98</v>
      </c>
      <c r="Y74" s="365">
        <f t="shared" si="16"/>
        <v>385</v>
      </c>
      <c r="Z74" s="366">
        <f t="shared" si="15"/>
        <v>2.1253105161468396E-2</v>
      </c>
    </row>
    <row r="75" spans="2:26">
      <c r="B75" t="s">
        <v>363</v>
      </c>
      <c r="C75" s="837">
        <v>44834</v>
      </c>
      <c r="D75" t="s">
        <v>359</v>
      </c>
      <c r="E75">
        <v>1</v>
      </c>
      <c r="F75">
        <v>0</v>
      </c>
      <c r="G75">
        <v>0</v>
      </c>
      <c r="H75">
        <v>0</v>
      </c>
      <c r="I75">
        <v>0</v>
      </c>
      <c r="J75">
        <v>0</v>
      </c>
      <c r="K75">
        <v>0</v>
      </c>
      <c r="U75" t="s">
        <v>364</v>
      </c>
      <c r="V75">
        <v>58</v>
      </c>
      <c r="W75">
        <v>56</v>
      </c>
      <c r="X75">
        <v>180</v>
      </c>
      <c r="Y75" s="365">
        <f t="shared" si="16"/>
        <v>294</v>
      </c>
      <c r="Z75" s="366">
        <f t="shared" si="15"/>
        <v>1.6229643941484958E-2</v>
      </c>
    </row>
    <row r="76" spans="2:26">
      <c r="B76" t="s">
        <v>362</v>
      </c>
      <c r="C76" s="837">
        <v>44834</v>
      </c>
      <c r="D76" t="s">
        <v>360</v>
      </c>
      <c r="E76">
        <v>3</v>
      </c>
      <c r="F76">
        <v>1</v>
      </c>
      <c r="G76">
        <v>5</v>
      </c>
      <c r="H76">
        <v>0</v>
      </c>
      <c r="I76">
        <v>0</v>
      </c>
      <c r="J76">
        <v>1</v>
      </c>
      <c r="K76">
        <v>4</v>
      </c>
      <c r="U76" t="s">
        <v>0</v>
      </c>
      <c r="V76">
        <v>8</v>
      </c>
      <c r="W76">
        <v>15</v>
      </c>
      <c r="X76">
        <v>108</v>
      </c>
      <c r="Y76" s="365">
        <f t="shared" si="16"/>
        <v>131</v>
      </c>
      <c r="Z76" s="366">
        <f t="shared" si="15"/>
        <v>7.2315760419541814E-3</v>
      </c>
    </row>
    <row r="77" spans="2:26">
      <c r="B77" t="s">
        <v>363</v>
      </c>
      <c r="C77" s="837">
        <v>44834</v>
      </c>
      <c r="D77" t="s">
        <v>360</v>
      </c>
      <c r="E77">
        <v>0</v>
      </c>
      <c r="F77">
        <v>0</v>
      </c>
      <c r="G77">
        <v>1</v>
      </c>
      <c r="H77">
        <v>0</v>
      </c>
      <c r="I77">
        <v>1</v>
      </c>
      <c r="J77">
        <v>0</v>
      </c>
      <c r="K77">
        <v>0</v>
      </c>
      <c r="U77" t="s">
        <v>3</v>
      </c>
      <c r="V77" s="365">
        <f>SUM(V70:V76)</f>
        <v>8580</v>
      </c>
      <c r="W77" s="365">
        <f>SUM(W70:W76)</f>
        <v>4634</v>
      </c>
      <c r="X77" s="365">
        <f>SUM(X70:X76)</f>
        <v>4901</v>
      </c>
      <c r="Y77" s="365">
        <f>SUM(Y70:Y76)</f>
        <v>18115</v>
      </c>
      <c r="Z77" s="366">
        <f t="shared" si="15"/>
        <v>1</v>
      </c>
    </row>
    <row r="78" spans="2:26">
      <c r="B78" t="s">
        <v>363</v>
      </c>
      <c r="C78" s="837">
        <v>44834</v>
      </c>
      <c r="D78" t="s">
        <v>172</v>
      </c>
      <c r="E78">
        <v>0</v>
      </c>
      <c r="F78">
        <v>0</v>
      </c>
      <c r="G78">
        <v>0</v>
      </c>
      <c r="H78">
        <v>0</v>
      </c>
      <c r="I78">
        <v>0</v>
      </c>
      <c r="J78">
        <v>0</v>
      </c>
      <c r="K78">
        <v>0</v>
      </c>
      <c r="U78" t="s">
        <v>1097</v>
      </c>
      <c r="V78" s="366">
        <f>V77/$Y$77</f>
        <v>0.47364062931272427</v>
      </c>
      <c r="W78" s="366">
        <f>W77/$Y$77</f>
        <v>0.25581010212531052</v>
      </c>
      <c r="X78" s="366">
        <f>X77/$Y$77</f>
        <v>0.27054926856196521</v>
      </c>
      <c r="Y78" s="366">
        <f>Y77/$Y$77</f>
        <v>1</v>
      </c>
    </row>
    <row r="79" spans="2:26">
      <c r="B79" t="s">
        <v>362</v>
      </c>
      <c r="C79" s="837">
        <v>44865</v>
      </c>
      <c r="D79" t="s">
        <v>357</v>
      </c>
      <c r="E79">
        <v>0</v>
      </c>
      <c r="F79">
        <v>1</v>
      </c>
      <c r="G79">
        <v>0</v>
      </c>
      <c r="H79">
        <v>0</v>
      </c>
      <c r="I79">
        <v>0</v>
      </c>
      <c r="J79">
        <v>0</v>
      </c>
      <c r="K79">
        <v>0</v>
      </c>
    </row>
    <row r="80" spans="2:26">
      <c r="B80" t="s">
        <v>363</v>
      </c>
      <c r="C80" s="837">
        <v>44865</v>
      </c>
      <c r="D80" t="s">
        <v>357</v>
      </c>
      <c r="E80">
        <v>13</v>
      </c>
      <c r="F80">
        <v>11</v>
      </c>
      <c r="G80">
        <v>38</v>
      </c>
      <c r="H80">
        <v>3</v>
      </c>
      <c r="I80">
        <v>3</v>
      </c>
      <c r="J80">
        <v>12</v>
      </c>
      <c r="K80">
        <v>20</v>
      </c>
      <c r="U80" t="s">
        <v>1132</v>
      </c>
    </row>
    <row r="81" spans="2:21">
      <c r="B81" t="s">
        <v>362</v>
      </c>
      <c r="C81" s="837">
        <v>44865</v>
      </c>
      <c r="D81" t="s">
        <v>358</v>
      </c>
      <c r="E81">
        <v>0</v>
      </c>
      <c r="F81">
        <v>1</v>
      </c>
      <c r="G81">
        <v>0</v>
      </c>
      <c r="H81">
        <v>0</v>
      </c>
      <c r="I81">
        <v>0</v>
      </c>
      <c r="J81">
        <v>0</v>
      </c>
      <c r="K81">
        <v>0</v>
      </c>
      <c r="U81" t="s">
        <v>1139</v>
      </c>
    </row>
    <row r="82" spans="2:21">
      <c r="B82" t="s">
        <v>363</v>
      </c>
      <c r="C82" s="837">
        <v>44865</v>
      </c>
      <c r="D82" t="s">
        <v>358</v>
      </c>
      <c r="E82">
        <v>18</v>
      </c>
      <c r="F82">
        <v>4</v>
      </c>
      <c r="G82">
        <v>10</v>
      </c>
      <c r="H82">
        <v>1</v>
      </c>
      <c r="I82">
        <v>1</v>
      </c>
      <c r="J82">
        <v>3</v>
      </c>
      <c r="K82">
        <v>5</v>
      </c>
    </row>
    <row r="83" spans="2:21">
      <c r="B83" t="s">
        <v>362</v>
      </c>
      <c r="C83" s="837">
        <v>44865</v>
      </c>
      <c r="D83" t="s">
        <v>359</v>
      </c>
      <c r="E83">
        <v>0</v>
      </c>
      <c r="F83">
        <v>0</v>
      </c>
      <c r="G83">
        <v>0</v>
      </c>
      <c r="H83">
        <v>0</v>
      </c>
      <c r="I83">
        <v>0</v>
      </c>
      <c r="J83">
        <v>0</v>
      </c>
      <c r="K83">
        <v>0</v>
      </c>
    </row>
    <row r="84" spans="2:21">
      <c r="B84" t="s">
        <v>363</v>
      </c>
      <c r="C84" s="837">
        <v>44865</v>
      </c>
      <c r="D84" t="s">
        <v>359</v>
      </c>
      <c r="E84">
        <v>0</v>
      </c>
      <c r="F84">
        <v>0</v>
      </c>
      <c r="G84">
        <v>1</v>
      </c>
      <c r="H84">
        <v>0</v>
      </c>
      <c r="I84">
        <v>0</v>
      </c>
      <c r="J84">
        <v>0</v>
      </c>
      <c r="K84">
        <v>1</v>
      </c>
    </row>
    <row r="85" spans="2:21">
      <c r="B85" t="s">
        <v>362</v>
      </c>
      <c r="C85" s="837">
        <v>44865</v>
      </c>
      <c r="D85" t="s">
        <v>360</v>
      </c>
      <c r="E85">
        <v>1</v>
      </c>
      <c r="F85">
        <v>3</v>
      </c>
      <c r="G85">
        <v>4</v>
      </c>
      <c r="H85">
        <v>0</v>
      </c>
      <c r="I85">
        <v>0</v>
      </c>
      <c r="J85">
        <v>1</v>
      </c>
      <c r="K85">
        <v>3</v>
      </c>
    </row>
    <row r="86" spans="2:21">
      <c r="B86" t="s">
        <v>363</v>
      </c>
      <c r="C86" s="837">
        <v>44865</v>
      </c>
      <c r="D86" t="s">
        <v>360</v>
      </c>
      <c r="E86">
        <v>0</v>
      </c>
      <c r="F86">
        <v>0</v>
      </c>
      <c r="G86">
        <v>0</v>
      </c>
      <c r="H86">
        <v>0</v>
      </c>
      <c r="I86">
        <v>0</v>
      </c>
      <c r="J86">
        <v>0</v>
      </c>
      <c r="K86">
        <v>0</v>
      </c>
    </row>
    <row r="87" spans="2:21">
      <c r="B87" t="s">
        <v>363</v>
      </c>
      <c r="C87" s="837">
        <v>44865</v>
      </c>
      <c r="D87" t="s">
        <v>172</v>
      </c>
      <c r="E87">
        <v>0</v>
      </c>
      <c r="F87">
        <v>0</v>
      </c>
      <c r="G87">
        <v>0</v>
      </c>
      <c r="H87">
        <v>0</v>
      </c>
      <c r="I87">
        <v>0</v>
      </c>
      <c r="J87">
        <v>0</v>
      </c>
      <c r="K87">
        <v>0</v>
      </c>
    </row>
    <row r="88" spans="2:21">
      <c r="B88" t="s">
        <v>362</v>
      </c>
      <c r="C88" s="837">
        <v>44895</v>
      </c>
      <c r="D88" t="s">
        <v>357</v>
      </c>
      <c r="E88">
        <v>0</v>
      </c>
      <c r="F88">
        <v>1</v>
      </c>
      <c r="G88">
        <v>0</v>
      </c>
      <c r="H88">
        <v>0</v>
      </c>
      <c r="I88">
        <v>0</v>
      </c>
      <c r="J88">
        <v>0</v>
      </c>
      <c r="K88">
        <v>0</v>
      </c>
    </row>
    <row r="89" spans="2:21">
      <c r="B89" t="s">
        <v>363</v>
      </c>
      <c r="C89" s="837">
        <v>44895</v>
      </c>
      <c r="D89" t="s">
        <v>357</v>
      </c>
      <c r="E89">
        <v>29</v>
      </c>
      <c r="F89">
        <v>17</v>
      </c>
      <c r="G89">
        <v>42</v>
      </c>
      <c r="H89">
        <v>3</v>
      </c>
      <c r="I89">
        <v>8</v>
      </c>
      <c r="J89">
        <v>7</v>
      </c>
      <c r="K89">
        <v>24</v>
      </c>
    </row>
    <row r="90" spans="2:21">
      <c r="B90" t="s">
        <v>362</v>
      </c>
      <c r="C90" s="837">
        <v>44895</v>
      </c>
      <c r="D90" t="s">
        <v>358</v>
      </c>
      <c r="E90">
        <v>2</v>
      </c>
      <c r="F90">
        <v>0</v>
      </c>
      <c r="G90">
        <v>1</v>
      </c>
      <c r="H90">
        <v>0</v>
      </c>
      <c r="I90">
        <v>0</v>
      </c>
      <c r="J90">
        <v>0</v>
      </c>
      <c r="K90">
        <v>1</v>
      </c>
    </row>
    <row r="91" spans="2:21">
      <c r="B91" t="s">
        <v>363</v>
      </c>
      <c r="C91" s="837">
        <v>44895</v>
      </c>
      <c r="D91" t="s">
        <v>358</v>
      </c>
      <c r="E91">
        <v>29</v>
      </c>
      <c r="F91">
        <v>2</v>
      </c>
      <c r="G91">
        <v>6</v>
      </c>
      <c r="H91">
        <v>0</v>
      </c>
      <c r="I91">
        <v>0</v>
      </c>
      <c r="J91">
        <v>0</v>
      </c>
      <c r="K91">
        <v>6</v>
      </c>
    </row>
    <row r="92" spans="2:21">
      <c r="B92" t="s">
        <v>362</v>
      </c>
      <c r="C92" s="837">
        <v>44895</v>
      </c>
      <c r="D92" t="s">
        <v>359</v>
      </c>
      <c r="E92">
        <v>0</v>
      </c>
      <c r="F92">
        <v>0</v>
      </c>
      <c r="G92">
        <v>0</v>
      </c>
      <c r="H92">
        <v>0</v>
      </c>
      <c r="I92">
        <v>0</v>
      </c>
      <c r="J92">
        <v>0</v>
      </c>
      <c r="K92">
        <v>0</v>
      </c>
    </row>
    <row r="93" spans="2:21">
      <c r="B93" t="s">
        <v>363</v>
      </c>
      <c r="C93" s="837">
        <v>44895</v>
      </c>
      <c r="D93" t="s">
        <v>359</v>
      </c>
      <c r="E93">
        <v>0</v>
      </c>
      <c r="F93">
        <v>0</v>
      </c>
      <c r="G93">
        <v>0</v>
      </c>
      <c r="H93">
        <v>0</v>
      </c>
      <c r="I93">
        <v>0</v>
      </c>
      <c r="J93">
        <v>0</v>
      </c>
      <c r="K93">
        <v>0</v>
      </c>
    </row>
    <row r="94" spans="2:21">
      <c r="B94" t="s">
        <v>362</v>
      </c>
      <c r="C94" s="837">
        <v>44895</v>
      </c>
      <c r="D94" t="s">
        <v>360</v>
      </c>
      <c r="E94">
        <v>2</v>
      </c>
      <c r="F94">
        <v>3</v>
      </c>
      <c r="G94">
        <v>8</v>
      </c>
      <c r="H94">
        <v>0</v>
      </c>
      <c r="I94">
        <v>1</v>
      </c>
      <c r="J94">
        <v>0</v>
      </c>
      <c r="K94">
        <v>7</v>
      </c>
    </row>
    <row r="95" spans="2:21">
      <c r="B95" t="s">
        <v>363</v>
      </c>
      <c r="C95" s="837">
        <v>44895</v>
      </c>
      <c r="D95" t="s">
        <v>360</v>
      </c>
      <c r="E95">
        <v>0</v>
      </c>
      <c r="F95">
        <v>0</v>
      </c>
      <c r="G95">
        <v>0</v>
      </c>
      <c r="H95">
        <v>0</v>
      </c>
      <c r="I95">
        <v>0</v>
      </c>
      <c r="J95">
        <v>0</v>
      </c>
      <c r="K95">
        <v>0</v>
      </c>
    </row>
    <row r="96" spans="2:21">
      <c r="B96" t="s">
        <v>363</v>
      </c>
      <c r="C96" s="837">
        <v>44895</v>
      </c>
      <c r="D96" t="s">
        <v>172</v>
      </c>
      <c r="E96">
        <v>0</v>
      </c>
      <c r="F96">
        <v>0</v>
      </c>
      <c r="G96">
        <v>0</v>
      </c>
      <c r="H96">
        <v>0</v>
      </c>
      <c r="I96">
        <v>0</v>
      </c>
      <c r="J96">
        <v>0</v>
      </c>
      <c r="K96">
        <v>0</v>
      </c>
    </row>
    <row r="97" spans="2:11">
      <c r="B97" t="s">
        <v>362</v>
      </c>
      <c r="C97" s="837">
        <v>44926</v>
      </c>
      <c r="D97" t="s">
        <v>357</v>
      </c>
      <c r="E97">
        <v>0</v>
      </c>
      <c r="F97">
        <v>1</v>
      </c>
      <c r="G97">
        <v>2</v>
      </c>
      <c r="H97">
        <v>0</v>
      </c>
      <c r="I97">
        <v>0</v>
      </c>
      <c r="J97">
        <v>0</v>
      </c>
      <c r="K97">
        <v>2</v>
      </c>
    </row>
    <row r="98" spans="2:11">
      <c r="B98" t="s">
        <v>363</v>
      </c>
      <c r="C98" s="837">
        <v>44926</v>
      </c>
      <c r="D98" t="s">
        <v>357</v>
      </c>
      <c r="E98">
        <v>50</v>
      </c>
      <c r="F98">
        <v>32</v>
      </c>
      <c r="G98">
        <v>76</v>
      </c>
      <c r="H98">
        <v>7</v>
      </c>
      <c r="I98">
        <v>23</v>
      </c>
      <c r="J98">
        <v>11</v>
      </c>
      <c r="K98">
        <v>35</v>
      </c>
    </row>
    <row r="99" spans="2:11">
      <c r="B99" t="s">
        <v>362</v>
      </c>
      <c r="C99" s="837">
        <v>44926</v>
      </c>
      <c r="D99" t="s">
        <v>358</v>
      </c>
      <c r="E99">
        <v>1</v>
      </c>
      <c r="F99">
        <v>1</v>
      </c>
      <c r="G99">
        <v>0</v>
      </c>
      <c r="H99">
        <v>0</v>
      </c>
      <c r="I99">
        <v>0</v>
      </c>
      <c r="J99">
        <v>0</v>
      </c>
      <c r="K99">
        <v>0</v>
      </c>
    </row>
    <row r="100" spans="2:11">
      <c r="B100" t="s">
        <v>363</v>
      </c>
      <c r="C100" s="837">
        <v>44926</v>
      </c>
      <c r="D100" t="s">
        <v>358</v>
      </c>
      <c r="E100">
        <v>27</v>
      </c>
      <c r="F100">
        <v>4</v>
      </c>
      <c r="G100">
        <v>4</v>
      </c>
      <c r="H100">
        <v>0</v>
      </c>
      <c r="I100">
        <v>0</v>
      </c>
      <c r="J100">
        <v>0</v>
      </c>
      <c r="K100">
        <v>4</v>
      </c>
    </row>
    <row r="101" spans="2:11">
      <c r="B101" t="s">
        <v>362</v>
      </c>
      <c r="C101" s="837">
        <v>44926</v>
      </c>
      <c r="D101" t="s">
        <v>359</v>
      </c>
      <c r="E101">
        <v>0</v>
      </c>
      <c r="F101">
        <v>0</v>
      </c>
      <c r="G101">
        <v>0</v>
      </c>
      <c r="H101">
        <v>0</v>
      </c>
      <c r="I101">
        <v>0</v>
      </c>
      <c r="J101">
        <v>0</v>
      </c>
      <c r="K101">
        <v>0</v>
      </c>
    </row>
    <row r="102" spans="2:11">
      <c r="B102" t="s">
        <v>363</v>
      </c>
      <c r="C102" s="837">
        <v>44926</v>
      </c>
      <c r="D102" t="s">
        <v>359</v>
      </c>
      <c r="E102">
        <v>0</v>
      </c>
      <c r="F102">
        <v>0</v>
      </c>
      <c r="G102">
        <v>0</v>
      </c>
      <c r="H102">
        <v>0</v>
      </c>
      <c r="I102">
        <v>0</v>
      </c>
      <c r="J102">
        <v>0</v>
      </c>
      <c r="K102">
        <v>0</v>
      </c>
    </row>
    <row r="103" spans="2:11">
      <c r="B103" t="s">
        <v>362</v>
      </c>
      <c r="C103" s="837">
        <v>44926</v>
      </c>
      <c r="D103" t="s">
        <v>360</v>
      </c>
      <c r="E103">
        <v>1</v>
      </c>
      <c r="F103">
        <v>3</v>
      </c>
      <c r="G103">
        <v>3</v>
      </c>
      <c r="H103">
        <v>0</v>
      </c>
      <c r="I103">
        <v>0</v>
      </c>
      <c r="J103">
        <v>0</v>
      </c>
      <c r="K103">
        <v>3</v>
      </c>
    </row>
    <row r="104" spans="2:11">
      <c r="B104" t="s">
        <v>363</v>
      </c>
      <c r="C104" s="837">
        <v>44926</v>
      </c>
      <c r="D104" t="s">
        <v>360</v>
      </c>
      <c r="E104">
        <v>1</v>
      </c>
      <c r="F104">
        <v>0</v>
      </c>
      <c r="G104">
        <v>0</v>
      </c>
      <c r="H104">
        <v>0</v>
      </c>
      <c r="I104">
        <v>0</v>
      </c>
      <c r="J104">
        <v>0</v>
      </c>
      <c r="K104">
        <v>0</v>
      </c>
    </row>
    <row r="105" spans="2:11">
      <c r="B105" t="s">
        <v>363</v>
      </c>
      <c r="C105" s="837">
        <v>44926</v>
      </c>
      <c r="D105" t="s">
        <v>172</v>
      </c>
      <c r="E105">
        <v>0</v>
      </c>
      <c r="F105">
        <v>0</v>
      </c>
      <c r="G105">
        <v>0</v>
      </c>
      <c r="H105">
        <v>0</v>
      </c>
      <c r="I105">
        <v>0</v>
      </c>
      <c r="J105">
        <v>0</v>
      </c>
      <c r="K105">
        <v>0</v>
      </c>
    </row>
    <row r="106" spans="2:11">
      <c r="B106" t="s">
        <v>362</v>
      </c>
      <c r="C106" s="837">
        <v>44957</v>
      </c>
      <c r="D106" t="s">
        <v>357</v>
      </c>
      <c r="E106">
        <v>0</v>
      </c>
      <c r="F106">
        <v>0</v>
      </c>
      <c r="G106">
        <v>0</v>
      </c>
      <c r="H106">
        <v>0</v>
      </c>
      <c r="I106">
        <v>0</v>
      </c>
      <c r="J106">
        <v>0</v>
      </c>
      <c r="K106">
        <v>0</v>
      </c>
    </row>
    <row r="107" spans="2:11">
      <c r="B107" t="s">
        <v>363</v>
      </c>
      <c r="C107" s="837">
        <v>44957</v>
      </c>
      <c r="D107" t="s">
        <v>357</v>
      </c>
      <c r="E107">
        <v>43</v>
      </c>
      <c r="F107">
        <v>11</v>
      </c>
      <c r="G107">
        <v>50</v>
      </c>
      <c r="H107">
        <v>4</v>
      </c>
      <c r="I107">
        <v>22</v>
      </c>
      <c r="J107">
        <v>6</v>
      </c>
      <c r="K107">
        <v>18</v>
      </c>
    </row>
    <row r="108" spans="2:11">
      <c r="B108" t="s">
        <v>362</v>
      </c>
      <c r="C108" s="837">
        <v>44957</v>
      </c>
      <c r="D108" t="s">
        <v>358</v>
      </c>
      <c r="E108">
        <v>2</v>
      </c>
      <c r="F108">
        <v>0</v>
      </c>
      <c r="G108">
        <v>0</v>
      </c>
      <c r="H108">
        <v>0</v>
      </c>
      <c r="I108">
        <v>0</v>
      </c>
      <c r="J108">
        <v>0</v>
      </c>
      <c r="K108">
        <v>0</v>
      </c>
    </row>
    <row r="109" spans="2:11">
      <c r="B109" t="s">
        <v>363</v>
      </c>
      <c r="C109" s="837">
        <v>44957</v>
      </c>
      <c r="D109" t="s">
        <v>358</v>
      </c>
      <c r="E109">
        <v>28</v>
      </c>
      <c r="F109">
        <v>3</v>
      </c>
      <c r="G109">
        <v>7</v>
      </c>
      <c r="H109">
        <v>0</v>
      </c>
      <c r="I109">
        <v>1</v>
      </c>
      <c r="J109">
        <v>0</v>
      </c>
      <c r="K109">
        <v>6</v>
      </c>
    </row>
    <row r="110" spans="2:11">
      <c r="B110" t="s">
        <v>362</v>
      </c>
      <c r="C110" s="837">
        <v>44957</v>
      </c>
      <c r="D110" t="s">
        <v>359</v>
      </c>
      <c r="E110">
        <v>0</v>
      </c>
      <c r="F110">
        <v>0</v>
      </c>
      <c r="G110">
        <v>0</v>
      </c>
      <c r="H110">
        <v>0</v>
      </c>
      <c r="I110">
        <v>0</v>
      </c>
      <c r="J110">
        <v>0</v>
      </c>
      <c r="K110">
        <v>0</v>
      </c>
    </row>
    <row r="111" spans="2:11">
      <c r="B111" t="s">
        <v>363</v>
      </c>
      <c r="C111" s="837">
        <v>44957</v>
      </c>
      <c r="D111" t="s">
        <v>359</v>
      </c>
      <c r="E111">
        <v>1</v>
      </c>
      <c r="F111">
        <v>0</v>
      </c>
      <c r="G111">
        <v>0</v>
      </c>
      <c r="H111">
        <v>0</v>
      </c>
      <c r="I111">
        <v>0</v>
      </c>
      <c r="J111">
        <v>0</v>
      </c>
      <c r="K111">
        <v>0</v>
      </c>
    </row>
    <row r="112" spans="2:11">
      <c r="B112" t="s">
        <v>362</v>
      </c>
      <c r="C112" s="837">
        <v>44957</v>
      </c>
      <c r="D112" t="s">
        <v>360</v>
      </c>
      <c r="E112">
        <v>3</v>
      </c>
      <c r="F112">
        <v>3</v>
      </c>
      <c r="G112">
        <v>10</v>
      </c>
      <c r="H112">
        <v>0</v>
      </c>
      <c r="I112">
        <v>0</v>
      </c>
      <c r="J112">
        <v>4</v>
      </c>
      <c r="K112">
        <v>6</v>
      </c>
    </row>
    <row r="113" spans="2:11">
      <c r="B113" t="s">
        <v>363</v>
      </c>
      <c r="C113" s="837">
        <v>44957</v>
      </c>
      <c r="D113" t="s">
        <v>360</v>
      </c>
      <c r="E113">
        <v>1</v>
      </c>
      <c r="F113">
        <v>0</v>
      </c>
      <c r="G113">
        <v>1</v>
      </c>
      <c r="H113">
        <v>0</v>
      </c>
      <c r="I113">
        <v>0</v>
      </c>
      <c r="J113">
        <v>0</v>
      </c>
      <c r="K113">
        <v>1</v>
      </c>
    </row>
    <row r="114" spans="2:11">
      <c r="B114" t="s">
        <v>363</v>
      </c>
      <c r="C114" s="837">
        <v>44957</v>
      </c>
      <c r="D114" t="s">
        <v>172</v>
      </c>
      <c r="E114">
        <v>0</v>
      </c>
      <c r="F114">
        <v>0</v>
      </c>
      <c r="G114">
        <v>0</v>
      </c>
      <c r="H114">
        <v>0</v>
      </c>
      <c r="I114">
        <v>0</v>
      </c>
      <c r="J114">
        <v>0</v>
      </c>
      <c r="K114">
        <v>0</v>
      </c>
    </row>
    <row r="115" spans="2:11">
      <c r="B115" t="s">
        <v>362</v>
      </c>
      <c r="C115" s="837">
        <v>44985</v>
      </c>
      <c r="D115" t="s">
        <v>357</v>
      </c>
      <c r="E115">
        <v>0</v>
      </c>
      <c r="F115">
        <v>0</v>
      </c>
      <c r="G115">
        <v>0</v>
      </c>
      <c r="H115">
        <v>0</v>
      </c>
      <c r="I115">
        <v>0</v>
      </c>
      <c r="J115">
        <v>0</v>
      </c>
      <c r="K115">
        <v>0</v>
      </c>
    </row>
    <row r="116" spans="2:11">
      <c r="B116" t="s">
        <v>363</v>
      </c>
      <c r="C116" s="837">
        <v>44985</v>
      </c>
      <c r="D116" t="s">
        <v>357</v>
      </c>
      <c r="E116">
        <v>50</v>
      </c>
      <c r="F116">
        <v>20</v>
      </c>
      <c r="G116">
        <v>57</v>
      </c>
      <c r="H116">
        <v>4</v>
      </c>
      <c r="I116">
        <v>13</v>
      </c>
      <c r="J116">
        <v>3</v>
      </c>
      <c r="K116">
        <v>37</v>
      </c>
    </row>
    <row r="117" spans="2:11">
      <c r="B117" t="s">
        <v>362</v>
      </c>
      <c r="C117" s="837">
        <v>44985</v>
      </c>
      <c r="D117" t="s">
        <v>358</v>
      </c>
      <c r="E117">
        <v>1</v>
      </c>
      <c r="F117">
        <v>2</v>
      </c>
      <c r="G117">
        <v>1</v>
      </c>
      <c r="H117">
        <v>0</v>
      </c>
      <c r="I117">
        <v>0</v>
      </c>
      <c r="J117">
        <v>0</v>
      </c>
      <c r="K117">
        <v>1</v>
      </c>
    </row>
    <row r="118" spans="2:11">
      <c r="B118" t="s">
        <v>363</v>
      </c>
      <c r="C118" s="837">
        <v>44985</v>
      </c>
      <c r="D118" t="s">
        <v>358</v>
      </c>
      <c r="E118">
        <v>14</v>
      </c>
      <c r="F118">
        <v>1</v>
      </c>
      <c r="G118">
        <v>5</v>
      </c>
      <c r="H118">
        <v>0</v>
      </c>
      <c r="I118">
        <v>1</v>
      </c>
      <c r="J118">
        <v>1</v>
      </c>
      <c r="K118">
        <v>3</v>
      </c>
    </row>
    <row r="119" spans="2:11">
      <c r="B119" t="s">
        <v>362</v>
      </c>
      <c r="C119" s="837">
        <v>44985</v>
      </c>
      <c r="D119" t="s">
        <v>359</v>
      </c>
      <c r="E119">
        <v>0</v>
      </c>
      <c r="F119">
        <v>0</v>
      </c>
      <c r="G119">
        <v>0</v>
      </c>
      <c r="H119">
        <v>0</v>
      </c>
      <c r="I119">
        <v>0</v>
      </c>
      <c r="J119">
        <v>0</v>
      </c>
      <c r="K119">
        <v>0</v>
      </c>
    </row>
    <row r="120" spans="2:11">
      <c r="B120" t="s">
        <v>363</v>
      </c>
      <c r="C120" s="837">
        <v>44985</v>
      </c>
      <c r="D120" t="s">
        <v>359</v>
      </c>
      <c r="E120">
        <v>0</v>
      </c>
      <c r="F120">
        <v>0</v>
      </c>
      <c r="G120">
        <v>0</v>
      </c>
      <c r="H120">
        <v>0</v>
      </c>
      <c r="I120">
        <v>0</v>
      </c>
      <c r="J120">
        <v>0</v>
      </c>
      <c r="K120">
        <v>0</v>
      </c>
    </row>
    <row r="121" spans="2:11">
      <c r="B121" t="s">
        <v>362</v>
      </c>
      <c r="C121" s="837">
        <v>44985</v>
      </c>
      <c r="D121" t="s">
        <v>360</v>
      </c>
      <c r="E121">
        <v>4</v>
      </c>
      <c r="F121">
        <v>1</v>
      </c>
      <c r="G121">
        <v>2</v>
      </c>
      <c r="H121">
        <v>0</v>
      </c>
      <c r="I121">
        <v>0</v>
      </c>
      <c r="J121">
        <v>0</v>
      </c>
      <c r="K121">
        <v>2</v>
      </c>
    </row>
    <row r="122" spans="2:11">
      <c r="B122" t="s">
        <v>363</v>
      </c>
      <c r="C122" s="837">
        <v>44985</v>
      </c>
      <c r="D122" t="s">
        <v>360</v>
      </c>
      <c r="E122">
        <v>0</v>
      </c>
      <c r="F122">
        <v>1</v>
      </c>
      <c r="G122">
        <v>2</v>
      </c>
      <c r="H122">
        <v>0</v>
      </c>
      <c r="I122">
        <v>1</v>
      </c>
      <c r="J122">
        <v>0</v>
      </c>
      <c r="K122">
        <v>1</v>
      </c>
    </row>
    <row r="123" spans="2:11">
      <c r="B123" t="s">
        <v>363</v>
      </c>
      <c r="C123" s="837">
        <v>44985</v>
      </c>
      <c r="D123" t="s">
        <v>172</v>
      </c>
      <c r="E123">
        <v>0</v>
      </c>
      <c r="F123">
        <v>0</v>
      </c>
      <c r="G123">
        <v>0</v>
      </c>
      <c r="H123">
        <v>0</v>
      </c>
      <c r="I123">
        <v>0</v>
      </c>
      <c r="J123">
        <v>0</v>
      </c>
      <c r="K123">
        <v>0</v>
      </c>
    </row>
    <row r="124" spans="2:11">
      <c r="B124" t="s">
        <v>362</v>
      </c>
      <c r="C124" s="837">
        <v>45016</v>
      </c>
      <c r="D124" t="s">
        <v>357</v>
      </c>
      <c r="E124">
        <v>0</v>
      </c>
      <c r="F124">
        <v>1</v>
      </c>
      <c r="G124">
        <v>0</v>
      </c>
      <c r="H124">
        <v>0</v>
      </c>
      <c r="I124">
        <v>0</v>
      </c>
      <c r="J124">
        <v>0</v>
      </c>
      <c r="K124">
        <v>0</v>
      </c>
    </row>
    <row r="125" spans="2:11">
      <c r="B125" t="s">
        <v>363</v>
      </c>
      <c r="C125" s="837">
        <v>45016</v>
      </c>
      <c r="D125" t="s">
        <v>357</v>
      </c>
      <c r="E125">
        <v>76</v>
      </c>
      <c r="F125">
        <v>15</v>
      </c>
      <c r="G125">
        <v>55</v>
      </c>
      <c r="H125">
        <v>5</v>
      </c>
      <c r="I125">
        <v>9</v>
      </c>
      <c r="J125">
        <v>5</v>
      </c>
      <c r="K125">
        <v>36</v>
      </c>
    </row>
    <row r="126" spans="2:11">
      <c r="B126" t="s">
        <v>362</v>
      </c>
      <c r="C126" s="837">
        <v>45016</v>
      </c>
      <c r="D126" t="s">
        <v>358</v>
      </c>
      <c r="E126">
        <v>3</v>
      </c>
      <c r="F126">
        <v>1</v>
      </c>
      <c r="G126">
        <v>0</v>
      </c>
      <c r="H126">
        <v>0</v>
      </c>
      <c r="I126">
        <v>0</v>
      </c>
      <c r="J126">
        <v>0</v>
      </c>
      <c r="K126">
        <v>0</v>
      </c>
    </row>
    <row r="127" spans="2:11">
      <c r="B127" t="s">
        <v>363</v>
      </c>
      <c r="C127" s="837">
        <v>45016</v>
      </c>
      <c r="D127" t="s">
        <v>358</v>
      </c>
      <c r="E127">
        <v>35</v>
      </c>
      <c r="F127">
        <v>10</v>
      </c>
      <c r="G127">
        <v>2</v>
      </c>
      <c r="H127">
        <v>0</v>
      </c>
      <c r="I127">
        <v>0</v>
      </c>
      <c r="J127">
        <v>0</v>
      </c>
      <c r="K127">
        <v>2</v>
      </c>
    </row>
    <row r="128" spans="2:11">
      <c r="B128" t="s">
        <v>362</v>
      </c>
      <c r="C128" s="837">
        <v>45016</v>
      </c>
      <c r="D128" t="s">
        <v>359</v>
      </c>
      <c r="E128">
        <v>0</v>
      </c>
      <c r="F128">
        <v>0</v>
      </c>
      <c r="G128">
        <v>0</v>
      </c>
      <c r="H128">
        <v>0</v>
      </c>
      <c r="I128">
        <v>0</v>
      </c>
      <c r="J128">
        <v>0</v>
      </c>
      <c r="K128">
        <v>0</v>
      </c>
    </row>
    <row r="129" spans="2:11">
      <c r="B129" t="s">
        <v>363</v>
      </c>
      <c r="C129" s="837">
        <v>45016</v>
      </c>
      <c r="D129" t="s">
        <v>359</v>
      </c>
      <c r="E129">
        <v>0</v>
      </c>
      <c r="F129">
        <v>0</v>
      </c>
      <c r="G129">
        <v>0</v>
      </c>
      <c r="H129">
        <v>0</v>
      </c>
      <c r="I129">
        <v>0</v>
      </c>
      <c r="J129">
        <v>0</v>
      </c>
      <c r="K129">
        <v>0</v>
      </c>
    </row>
    <row r="130" spans="2:11">
      <c r="B130" t="s">
        <v>362</v>
      </c>
      <c r="C130" s="837">
        <v>45016</v>
      </c>
      <c r="D130" t="s">
        <v>360</v>
      </c>
      <c r="E130">
        <v>2</v>
      </c>
      <c r="F130">
        <v>1</v>
      </c>
      <c r="G130">
        <v>3</v>
      </c>
      <c r="H130">
        <v>0</v>
      </c>
      <c r="I130">
        <v>0</v>
      </c>
      <c r="J130">
        <v>0</v>
      </c>
      <c r="K130">
        <v>3</v>
      </c>
    </row>
    <row r="131" spans="2:11">
      <c r="B131" t="s">
        <v>363</v>
      </c>
      <c r="C131" s="837">
        <v>45016</v>
      </c>
      <c r="D131" t="s">
        <v>360</v>
      </c>
      <c r="E131">
        <v>2</v>
      </c>
      <c r="F131">
        <v>0</v>
      </c>
      <c r="G131">
        <v>5</v>
      </c>
      <c r="H131">
        <v>0</v>
      </c>
      <c r="I131">
        <v>3</v>
      </c>
      <c r="J131">
        <v>0</v>
      </c>
      <c r="K131">
        <v>2</v>
      </c>
    </row>
    <row r="132" spans="2:11">
      <c r="B132" t="s">
        <v>363</v>
      </c>
      <c r="C132" s="837">
        <v>45016</v>
      </c>
      <c r="D132" t="s">
        <v>172</v>
      </c>
      <c r="E132">
        <v>0</v>
      </c>
      <c r="F132">
        <v>0</v>
      </c>
      <c r="G132">
        <v>0</v>
      </c>
      <c r="H132">
        <v>0</v>
      </c>
      <c r="I132">
        <v>0</v>
      </c>
      <c r="J132">
        <v>0</v>
      </c>
      <c r="K132">
        <v>0</v>
      </c>
    </row>
    <row r="133" spans="2:11">
      <c r="B133" t="s">
        <v>362</v>
      </c>
      <c r="C133" s="837">
        <v>45046</v>
      </c>
      <c r="D133" t="s">
        <v>357</v>
      </c>
      <c r="E133">
        <v>1</v>
      </c>
      <c r="F133">
        <v>3</v>
      </c>
      <c r="G133">
        <v>1</v>
      </c>
      <c r="H133">
        <v>0</v>
      </c>
      <c r="I133">
        <v>0</v>
      </c>
      <c r="J133">
        <v>0</v>
      </c>
      <c r="K133">
        <v>1</v>
      </c>
    </row>
    <row r="134" spans="2:11">
      <c r="B134" t="s">
        <v>363</v>
      </c>
      <c r="C134" s="837">
        <v>45046</v>
      </c>
      <c r="D134" t="s">
        <v>357</v>
      </c>
      <c r="E134">
        <v>73</v>
      </c>
      <c r="F134">
        <v>12</v>
      </c>
      <c r="G134">
        <v>35</v>
      </c>
      <c r="H134">
        <v>5</v>
      </c>
      <c r="I134">
        <v>5</v>
      </c>
      <c r="J134">
        <v>3</v>
      </c>
      <c r="K134">
        <v>22</v>
      </c>
    </row>
    <row r="135" spans="2:11">
      <c r="B135" t="s">
        <v>362</v>
      </c>
      <c r="C135" s="837">
        <v>45046</v>
      </c>
      <c r="D135" t="s">
        <v>358</v>
      </c>
      <c r="E135">
        <v>2</v>
      </c>
      <c r="F135">
        <v>0</v>
      </c>
      <c r="G135">
        <v>1</v>
      </c>
      <c r="H135">
        <v>0</v>
      </c>
      <c r="I135">
        <v>0</v>
      </c>
      <c r="J135">
        <v>0</v>
      </c>
      <c r="K135">
        <v>1</v>
      </c>
    </row>
    <row r="136" spans="2:11">
      <c r="B136" t="s">
        <v>363</v>
      </c>
      <c r="C136" s="837">
        <v>45046</v>
      </c>
      <c r="D136" t="s">
        <v>358</v>
      </c>
      <c r="E136">
        <v>47</v>
      </c>
      <c r="F136">
        <v>8</v>
      </c>
      <c r="G136">
        <v>8</v>
      </c>
      <c r="H136">
        <v>0</v>
      </c>
      <c r="I136">
        <v>1</v>
      </c>
      <c r="J136">
        <v>0</v>
      </c>
      <c r="K136">
        <v>7</v>
      </c>
    </row>
    <row r="137" spans="2:11">
      <c r="B137" t="s">
        <v>362</v>
      </c>
      <c r="C137" s="837">
        <v>45046</v>
      </c>
      <c r="D137" t="s">
        <v>359</v>
      </c>
      <c r="E137">
        <v>0</v>
      </c>
      <c r="F137">
        <v>0</v>
      </c>
      <c r="G137">
        <v>1</v>
      </c>
      <c r="H137">
        <v>0</v>
      </c>
      <c r="I137">
        <v>0</v>
      </c>
      <c r="J137">
        <v>0</v>
      </c>
      <c r="K137">
        <v>1</v>
      </c>
    </row>
    <row r="138" spans="2:11">
      <c r="B138" t="s">
        <v>363</v>
      </c>
      <c r="C138" s="837">
        <v>45046</v>
      </c>
      <c r="D138" t="s">
        <v>359</v>
      </c>
      <c r="E138">
        <v>0</v>
      </c>
      <c r="F138">
        <v>0</v>
      </c>
      <c r="G138">
        <v>0</v>
      </c>
      <c r="H138">
        <v>0</v>
      </c>
      <c r="I138">
        <v>0</v>
      </c>
      <c r="J138">
        <v>0</v>
      </c>
      <c r="K138">
        <v>0</v>
      </c>
    </row>
    <row r="139" spans="2:11">
      <c r="B139" t="s">
        <v>362</v>
      </c>
      <c r="C139" s="837">
        <v>45046</v>
      </c>
      <c r="D139" t="s">
        <v>360</v>
      </c>
      <c r="E139">
        <v>1</v>
      </c>
      <c r="F139">
        <v>1</v>
      </c>
      <c r="G139">
        <v>6</v>
      </c>
      <c r="H139">
        <v>0</v>
      </c>
      <c r="I139">
        <v>0</v>
      </c>
      <c r="J139">
        <v>0</v>
      </c>
      <c r="K139">
        <v>6</v>
      </c>
    </row>
    <row r="140" spans="2:11">
      <c r="B140" t="s">
        <v>363</v>
      </c>
      <c r="C140" s="837">
        <v>45046</v>
      </c>
      <c r="D140" t="s">
        <v>360</v>
      </c>
      <c r="E140">
        <v>1</v>
      </c>
      <c r="F140">
        <v>0</v>
      </c>
      <c r="G140">
        <v>2</v>
      </c>
      <c r="H140">
        <v>0</v>
      </c>
      <c r="I140">
        <v>0</v>
      </c>
      <c r="J140">
        <v>0</v>
      </c>
      <c r="K140">
        <v>2</v>
      </c>
    </row>
    <row r="141" spans="2:11">
      <c r="B141" t="s">
        <v>363</v>
      </c>
      <c r="C141" s="837">
        <v>45046</v>
      </c>
      <c r="D141" t="s">
        <v>172</v>
      </c>
      <c r="E141">
        <v>0</v>
      </c>
      <c r="F141">
        <v>0</v>
      </c>
      <c r="G141">
        <v>0</v>
      </c>
      <c r="H141">
        <v>0</v>
      </c>
      <c r="I141">
        <v>0</v>
      </c>
      <c r="J141">
        <v>0</v>
      </c>
      <c r="K141">
        <v>0</v>
      </c>
    </row>
    <row r="142" spans="2:11">
      <c r="B142" t="s">
        <v>362</v>
      </c>
      <c r="C142" s="837">
        <v>45077</v>
      </c>
      <c r="D142" t="s">
        <v>357</v>
      </c>
      <c r="E142">
        <v>2</v>
      </c>
      <c r="F142">
        <v>2</v>
      </c>
      <c r="G142">
        <v>2</v>
      </c>
      <c r="H142">
        <v>0</v>
      </c>
      <c r="I142">
        <v>0</v>
      </c>
      <c r="J142">
        <v>0</v>
      </c>
      <c r="K142">
        <v>2</v>
      </c>
    </row>
    <row r="143" spans="2:11">
      <c r="B143" t="s">
        <v>363</v>
      </c>
      <c r="C143" s="837">
        <v>45077</v>
      </c>
      <c r="D143" t="s">
        <v>357</v>
      </c>
      <c r="E143">
        <v>64</v>
      </c>
      <c r="F143">
        <v>25</v>
      </c>
      <c r="G143">
        <v>41</v>
      </c>
      <c r="H143">
        <v>4</v>
      </c>
      <c r="I143">
        <v>6</v>
      </c>
      <c r="J143">
        <v>4</v>
      </c>
      <c r="K143">
        <v>27</v>
      </c>
    </row>
    <row r="144" spans="2:11">
      <c r="B144" t="s">
        <v>362</v>
      </c>
      <c r="C144" s="837">
        <v>45077</v>
      </c>
      <c r="D144" t="s">
        <v>358</v>
      </c>
      <c r="E144">
        <v>3</v>
      </c>
      <c r="F144">
        <v>1</v>
      </c>
      <c r="G144">
        <v>0</v>
      </c>
      <c r="H144">
        <v>0</v>
      </c>
      <c r="I144">
        <v>0</v>
      </c>
      <c r="J144">
        <v>0</v>
      </c>
      <c r="K144">
        <v>0</v>
      </c>
    </row>
    <row r="145" spans="2:11">
      <c r="B145" t="s">
        <v>363</v>
      </c>
      <c r="C145" s="837">
        <v>45077</v>
      </c>
      <c r="D145" t="s">
        <v>358</v>
      </c>
      <c r="E145">
        <v>46</v>
      </c>
      <c r="F145">
        <v>9</v>
      </c>
      <c r="G145">
        <v>11</v>
      </c>
      <c r="H145">
        <v>0</v>
      </c>
      <c r="I145">
        <v>1</v>
      </c>
      <c r="J145">
        <v>0</v>
      </c>
      <c r="K145">
        <v>10</v>
      </c>
    </row>
    <row r="146" spans="2:11">
      <c r="B146" t="s">
        <v>362</v>
      </c>
      <c r="C146" s="837">
        <v>45077</v>
      </c>
      <c r="D146" t="s">
        <v>359</v>
      </c>
      <c r="E146">
        <v>0</v>
      </c>
      <c r="F146">
        <v>0</v>
      </c>
      <c r="G146">
        <v>0</v>
      </c>
      <c r="H146">
        <v>0</v>
      </c>
      <c r="I146">
        <v>0</v>
      </c>
      <c r="J146">
        <v>0</v>
      </c>
      <c r="K146">
        <v>0</v>
      </c>
    </row>
    <row r="147" spans="2:11">
      <c r="B147" t="s">
        <v>363</v>
      </c>
      <c r="C147" s="837">
        <v>45077</v>
      </c>
      <c r="D147" t="s">
        <v>359</v>
      </c>
      <c r="E147">
        <v>1</v>
      </c>
      <c r="F147">
        <v>0</v>
      </c>
      <c r="G147">
        <v>0</v>
      </c>
      <c r="H147">
        <v>0</v>
      </c>
      <c r="I147">
        <v>0</v>
      </c>
      <c r="J147">
        <v>0</v>
      </c>
      <c r="K147">
        <v>0</v>
      </c>
    </row>
    <row r="148" spans="2:11">
      <c r="B148" t="s">
        <v>362</v>
      </c>
      <c r="C148" s="837">
        <v>45077</v>
      </c>
      <c r="D148" t="s">
        <v>360</v>
      </c>
      <c r="E148">
        <v>0</v>
      </c>
      <c r="F148">
        <v>1</v>
      </c>
      <c r="G148">
        <v>2</v>
      </c>
      <c r="H148">
        <v>0</v>
      </c>
      <c r="I148">
        <v>0</v>
      </c>
      <c r="J148">
        <v>0</v>
      </c>
      <c r="K148">
        <v>2</v>
      </c>
    </row>
    <row r="149" spans="2:11">
      <c r="B149" t="s">
        <v>363</v>
      </c>
      <c r="C149" s="837">
        <v>45077</v>
      </c>
      <c r="D149" t="s">
        <v>360</v>
      </c>
      <c r="E149">
        <v>1</v>
      </c>
      <c r="F149">
        <v>0</v>
      </c>
      <c r="G149">
        <v>0</v>
      </c>
      <c r="H149">
        <v>0</v>
      </c>
      <c r="I149">
        <v>0</v>
      </c>
      <c r="J149">
        <v>0</v>
      </c>
      <c r="K149">
        <v>0</v>
      </c>
    </row>
    <row r="150" spans="2:11">
      <c r="B150" t="s">
        <v>363</v>
      </c>
      <c r="C150" s="837">
        <v>45077</v>
      </c>
      <c r="D150" t="s">
        <v>172</v>
      </c>
      <c r="E150">
        <v>0</v>
      </c>
      <c r="F150">
        <v>0</v>
      </c>
      <c r="G150">
        <v>0</v>
      </c>
      <c r="H150">
        <v>0</v>
      </c>
      <c r="I150">
        <v>0</v>
      </c>
      <c r="J150">
        <v>0</v>
      </c>
      <c r="K150">
        <v>0</v>
      </c>
    </row>
    <row r="151" spans="2:11">
      <c r="B151" t="s">
        <v>362</v>
      </c>
      <c r="C151" s="837">
        <v>45107</v>
      </c>
      <c r="D151" t="s">
        <v>357</v>
      </c>
      <c r="E151">
        <v>1</v>
      </c>
      <c r="F151">
        <v>5</v>
      </c>
      <c r="G151">
        <v>3</v>
      </c>
      <c r="H151">
        <v>0</v>
      </c>
      <c r="I151">
        <v>1</v>
      </c>
      <c r="J151">
        <v>0</v>
      </c>
      <c r="K151">
        <v>2</v>
      </c>
    </row>
    <row r="152" spans="2:11">
      <c r="B152" t="s">
        <v>363</v>
      </c>
      <c r="C152" s="837">
        <v>45107</v>
      </c>
      <c r="D152" t="s">
        <v>357</v>
      </c>
      <c r="E152">
        <v>98</v>
      </c>
      <c r="F152">
        <v>27</v>
      </c>
      <c r="G152">
        <v>40</v>
      </c>
      <c r="H152">
        <v>4</v>
      </c>
      <c r="I152">
        <v>18</v>
      </c>
      <c r="J152">
        <v>4</v>
      </c>
      <c r="K152">
        <v>14</v>
      </c>
    </row>
    <row r="153" spans="2:11">
      <c r="B153" t="s">
        <v>362</v>
      </c>
      <c r="C153" s="837">
        <v>45107</v>
      </c>
      <c r="D153" t="s">
        <v>358</v>
      </c>
      <c r="E153">
        <v>2</v>
      </c>
      <c r="F153">
        <v>1</v>
      </c>
      <c r="G153">
        <v>1</v>
      </c>
      <c r="H153">
        <v>0</v>
      </c>
      <c r="I153">
        <v>0</v>
      </c>
      <c r="J153">
        <v>0</v>
      </c>
      <c r="K153">
        <v>1</v>
      </c>
    </row>
    <row r="154" spans="2:11">
      <c r="B154" t="s">
        <v>363</v>
      </c>
      <c r="C154" s="837">
        <v>45107</v>
      </c>
      <c r="D154" t="s">
        <v>358</v>
      </c>
      <c r="E154">
        <v>61</v>
      </c>
      <c r="F154">
        <v>15</v>
      </c>
      <c r="G154">
        <v>7</v>
      </c>
      <c r="H154">
        <v>0</v>
      </c>
      <c r="I154">
        <v>0</v>
      </c>
      <c r="J154">
        <v>0</v>
      </c>
      <c r="K154">
        <v>7</v>
      </c>
    </row>
    <row r="155" spans="2:11">
      <c r="B155" t="s">
        <v>362</v>
      </c>
      <c r="C155" s="837">
        <v>45107</v>
      </c>
      <c r="D155" t="s">
        <v>359</v>
      </c>
      <c r="E155">
        <v>0</v>
      </c>
      <c r="F155">
        <v>0</v>
      </c>
      <c r="G155">
        <v>0</v>
      </c>
      <c r="H155">
        <v>0</v>
      </c>
      <c r="I155">
        <v>0</v>
      </c>
      <c r="J155">
        <v>0</v>
      </c>
      <c r="K155">
        <v>0</v>
      </c>
    </row>
    <row r="156" spans="2:11">
      <c r="B156" t="s">
        <v>363</v>
      </c>
      <c r="C156" s="837">
        <v>45107</v>
      </c>
      <c r="D156" t="s">
        <v>359</v>
      </c>
      <c r="E156">
        <v>1</v>
      </c>
      <c r="F156">
        <v>0</v>
      </c>
      <c r="G156">
        <v>0</v>
      </c>
      <c r="H156">
        <v>0</v>
      </c>
      <c r="I156">
        <v>0</v>
      </c>
      <c r="J156">
        <v>0</v>
      </c>
      <c r="K156">
        <v>0</v>
      </c>
    </row>
    <row r="157" spans="2:11">
      <c r="B157" t="s">
        <v>362</v>
      </c>
      <c r="C157" s="837">
        <v>45107</v>
      </c>
      <c r="D157" t="s">
        <v>360</v>
      </c>
      <c r="E157">
        <v>0</v>
      </c>
      <c r="F157">
        <v>2</v>
      </c>
      <c r="G157">
        <v>4</v>
      </c>
      <c r="H157">
        <v>0</v>
      </c>
      <c r="I157">
        <v>0</v>
      </c>
      <c r="J157">
        <v>0</v>
      </c>
      <c r="K157">
        <v>4</v>
      </c>
    </row>
    <row r="158" spans="2:11">
      <c r="B158" t="s">
        <v>363</v>
      </c>
      <c r="C158" s="837">
        <v>45107</v>
      </c>
      <c r="D158" t="s">
        <v>360</v>
      </c>
      <c r="E158">
        <v>1</v>
      </c>
      <c r="F158">
        <v>0</v>
      </c>
      <c r="G158">
        <v>1</v>
      </c>
      <c r="H158">
        <v>0</v>
      </c>
      <c r="I158">
        <v>0</v>
      </c>
      <c r="J158">
        <v>0</v>
      </c>
      <c r="K158">
        <v>1</v>
      </c>
    </row>
    <row r="159" spans="2:11">
      <c r="B159" t="s">
        <v>363</v>
      </c>
      <c r="C159" s="837">
        <v>45107</v>
      </c>
      <c r="D159" t="s">
        <v>172</v>
      </c>
      <c r="E159">
        <v>0</v>
      </c>
      <c r="F159">
        <v>0</v>
      </c>
      <c r="G159">
        <v>0</v>
      </c>
      <c r="H159">
        <v>0</v>
      </c>
      <c r="I159">
        <v>0</v>
      </c>
      <c r="J159">
        <v>0</v>
      </c>
      <c r="K159">
        <v>0</v>
      </c>
    </row>
    <row r="160" spans="2:11">
      <c r="B160" t="s">
        <v>362</v>
      </c>
      <c r="C160" s="837">
        <v>45138</v>
      </c>
      <c r="D160" t="s">
        <v>357</v>
      </c>
      <c r="E160">
        <v>0</v>
      </c>
      <c r="F160">
        <v>1</v>
      </c>
      <c r="G160">
        <v>2</v>
      </c>
      <c r="H160">
        <v>0</v>
      </c>
      <c r="I160">
        <v>0</v>
      </c>
      <c r="J160">
        <v>0</v>
      </c>
      <c r="K160">
        <v>2</v>
      </c>
    </row>
    <row r="161" spans="2:11">
      <c r="B161" t="s">
        <v>363</v>
      </c>
      <c r="C161" s="837">
        <v>45138</v>
      </c>
      <c r="D161" t="s">
        <v>357</v>
      </c>
      <c r="E161">
        <v>89</v>
      </c>
      <c r="F161">
        <v>31</v>
      </c>
      <c r="G161">
        <v>54</v>
      </c>
      <c r="H161">
        <v>5</v>
      </c>
      <c r="I161">
        <v>24</v>
      </c>
      <c r="J161">
        <v>3</v>
      </c>
      <c r="K161">
        <v>22</v>
      </c>
    </row>
    <row r="162" spans="2:11">
      <c r="B162" t="s">
        <v>362</v>
      </c>
      <c r="C162" s="837">
        <v>45138</v>
      </c>
      <c r="D162" t="s">
        <v>358</v>
      </c>
      <c r="E162">
        <v>1</v>
      </c>
      <c r="F162">
        <v>1</v>
      </c>
      <c r="G162">
        <v>1</v>
      </c>
      <c r="H162">
        <v>0</v>
      </c>
      <c r="I162">
        <v>0</v>
      </c>
      <c r="J162">
        <v>0</v>
      </c>
      <c r="K162">
        <v>1</v>
      </c>
    </row>
    <row r="163" spans="2:11">
      <c r="B163" t="s">
        <v>363</v>
      </c>
      <c r="C163" s="837">
        <v>45138</v>
      </c>
      <c r="D163" t="s">
        <v>358</v>
      </c>
      <c r="E163">
        <v>58</v>
      </c>
      <c r="F163">
        <v>15</v>
      </c>
      <c r="G163">
        <v>2</v>
      </c>
      <c r="H163">
        <v>0</v>
      </c>
      <c r="I163">
        <v>0</v>
      </c>
      <c r="J163">
        <v>0</v>
      </c>
      <c r="K163">
        <v>2</v>
      </c>
    </row>
    <row r="164" spans="2:11">
      <c r="B164" t="s">
        <v>362</v>
      </c>
      <c r="C164" s="837">
        <v>45138</v>
      </c>
      <c r="D164" t="s">
        <v>359</v>
      </c>
      <c r="E164">
        <v>0</v>
      </c>
      <c r="F164">
        <v>2</v>
      </c>
      <c r="G164">
        <v>0</v>
      </c>
      <c r="H164">
        <v>0</v>
      </c>
      <c r="I164">
        <v>0</v>
      </c>
      <c r="J164">
        <v>0</v>
      </c>
      <c r="K164">
        <v>0</v>
      </c>
    </row>
    <row r="165" spans="2:11">
      <c r="B165" t="s">
        <v>363</v>
      </c>
      <c r="C165" s="837">
        <v>45138</v>
      </c>
      <c r="D165" t="s">
        <v>359</v>
      </c>
      <c r="E165">
        <v>0</v>
      </c>
      <c r="F165">
        <v>0</v>
      </c>
      <c r="G165">
        <v>0</v>
      </c>
      <c r="H165">
        <v>0</v>
      </c>
      <c r="I165">
        <v>0</v>
      </c>
      <c r="J165">
        <v>0</v>
      </c>
      <c r="K165">
        <v>0</v>
      </c>
    </row>
    <row r="166" spans="2:11">
      <c r="B166" t="s">
        <v>362</v>
      </c>
      <c r="C166" s="837">
        <v>45138</v>
      </c>
      <c r="D166" t="s">
        <v>360</v>
      </c>
      <c r="E166">
        <v>0</v>
      </c>
      <c r="F166">
        <v>0</v>
      </c>
      <c r="G166">
        <v>5</v>
      </c>
      <c r="H166">
        <v>0</v>
      </c>
      <c r="I166">
        <v>0</v>
      </c>
      <c r="J166">
        <v>0</v>
      </c>
      <c r="K166">
        <v>5</v>
      </c>
    </row>
    <row r="167" spans="2:11">
      <c r="B167" t="s">
        <v>363</v>
      </c>
      <c r="C167" s="837">
        <v>45138</v>
      </c>
      <c r="D167" t="s">
        <v>360</v>
      </c>
      <c r="E167">
        <v>0</v>
      </c>
      <c r="F167">
        <v>0</v>
      </c>
      <c r="G167">
        <v>4</v>
      </c>
      <c r="H167">
        <v>1</v>
      </c>
      <c r="I167">
        <v>0</v>
      </c>
      <c r="J167">
        <v>0</v>
      </c>
      <c r="K167">
        <v>3</v>
      </c>
    </row>
    <row r="168" spans="2:11">
      <c r="B168" t="s">
        <v>363</v>
      </c>
      <c r="C168" s="837">
        <v>45138</v>
      </c>
      <c r="D168" t="s">
        <v>172</v>
      </c>
      <c r="E168">
        <v>0</v>
      </c>
      <c r="F168">
        <v>0</v>
      </c>
      <c r="G168">
        <v>0</v>
      </c>
      <c r="H168">
        <v>0</v>
      </c>
      <c r="I168">
        <v>0</v>
      </c>
      <c r="J168">
        <v>0</v>
      </c>
      <c r="K168">
        <v>0</v>
      </c>
    </row>
    <row r="169" spans="2:11">
      <c r="B169" t="s">
        <v>362</v>
      </c>
      <c r="C169" s="837">
        <v>45169</v>
      </c>
      <c r="D169" t="s">
        <v>357</v>
      </c>
      <c r="E169">
        <v>4</v>
      </c>
      <c r="F169">
        <v>3</v>
      </c>
      <c r="G169">
        <v>1</v>
      </c>
      <c r="H169">
        <v>0</v>
      </c>
      <c r="I169">
        <v>0</v>
      </c>
      <c r="J169">
        <v>1</v>
      </c>
      <c r="K169">
        <v>0</v>
      </c>
    </row>
    <row r="170" spans="2:11">
      <c r="B170" t="s">
        <v>363</v>
      </c>
      <c r="C170" s="837">
        <v>45169</v>
      </c>
      <c r="D170" t="s">
        <v>357</v>
      </c>
      <c r="E170">
        <v>110</v>
      </c>
      <c r="F170">
        <v>28</v>
      </c>
      <c r="G170">
        <v>46</v>
      </c>
      <c r="H170">
        <v>4</v>
      </c>
      <c r="I170">
        <v>14</v>
      </c>
      <c r="J170">
        <v>3</v>
      </c>
      <c r="K170">
        <v>25</v>
      </c>
    </row>
    <row r="171" spans="2:11">
      <c r="B171" t="s">
        <v>362</v>
      </c>
      <c r="C171" s="837">
        <v>45169</v>
      </c>
      <c r="D171" t="s">
        <v>358</v>
      </c>
      <c r="E171">
        <v>7</v>
      </c>
      <c r="F171">
        <v>0</v>
      </c>
      <c r="G171">
        <v>0</v>
      </c>
      <c r="H171">
        <v>0</v>
      </c>
      <c r="I171">
        <v>0</v>
      </c>
      <c r="J171">
        <v>0</v>
      </c>
      <c r="K171">
        <v>0</v>
      </c>
    </row>
    <row r="172" spans="2:11">
      <c r="B172" t="s">
        <v>363</v>
      </c>
      <c r="C172" s="837">
        <v>45169</v>
      </c>
      <c r="D172" t="s">
        <v>358</v>
      </c>
      <c r="E172">
        <v>92</v>
      </c>
      <c r="F172">
        <v>19</v>
      </c>
      <c r="G172">
        <v>16</v>
      </c>
      <c r="H172">
        <v>1</v>
      </c>
      <c r="I172">
        <v>3</v>
      </c>
      <c r="J172">
        <v>3</v>
      </c>
      <c r="K172">
        <v>9</v>
      </c>
    </row>
    <row r="173" spans="2:11">
      <c r="B173" t="s">
        <v>362</v>
      </c>
      <c r="C173" s="837">
        <v>45169</v>
      </c>
      <c r="D173" t="s">
        <v>359</v>
      </c>
      <c r="E173">
        <v>0</v>
      </c>
      <c r="F173">
        <v>0</v>
      </c>
      <c r="G173">
        <v>0</v>
      </c>
      <c r="H173">
        <v>0</v>
      </c>
      <c r="I173">
        <v>0</v>
      </c>
      <c r="J173">
        <v>0</v>
      </c>
      <c r="K173">
        <v>0</v>
      </c>
    </row>
    <row r="174" spans="2:11">
      <c r="B174" t="s">
        <v>363</v>
      </c>
      <c r="C174" s="837">
        <v>45169</v>
      </c>
      <c r="D174" t="s">
        <v>359</v>
      </c>
      <c r="E174">
        <v>1</v>
      </c>
      <c r="F174">
        <v>0</v>
      </c>
      <c r="G174">
        <v>0</v>
      </c>
      <c r="H174">
        <v>0</v>
      </c>
      <c r="I174">
        <v>0</v>
      </c>
      <c r="J174">
        <v>0</v>
      </c>
      <c r="K174">
        <v>0</v>
      </c>
    </row>
    <row r="175" spans="2:11">
      <c r="B175" t="s">
        <v>362</v>
      </c>
      <c r="C175" s="837">
        <v>45169</v>
      </c>
      <c r="D175" t="s">
        <v>360</v>
      </c>
      <c r="E175">
        <v>1</v>
      </c>
      <c r="F175">
        <v>0</v>
      </c>
      <c r="G175">
        <v>1</v>
      </c>
      <c r="H175">
        <v>0</v>
      </c>
      <c r="I175">
        <v>0</v>
      </c>
      <c r="J175">
        <v>1</v>
      </c>
      <c r="K175">
        <v>0</v>
      </c>
    </row>
    <row r="176" spans="2:11">
      <c r="B176" t="s">
        <v>363</v>
      </c>
      <c r="C176" s="837">
        <v>45169</v>
      </c>
      <c r="D176" t="s">
        <v>360</v>
      </c>
      <c r="E176">
        <v>0</v>
      </c>
      <c r="F176">
        <v>0</v>
      </c>
      <c r="G176">
        <v>0</v>
      </c>
      <c r="H176">
        <v>0</v>
      </c>
      <c r="I176">
        <v>0</v>
      </c>
      <c r="J176">
        <v>0</v>
      </c>
      <c r="K176">
        <v>0</v>
      </c>
    </row>
    <row r="177" spans="2:11">
      <c r="B177" t="s">
        <v>363</v>
      </c>
      <c r="C177" s="837">
        <v>45169</v>
      </c>
      <c r="D177" t="s">
        <v>172</v>
      </c>
      <c r="E177">
        <v>0</v>
      </c>
      <c r="F177">
        <v>0</v>
      </c>
      <c r="G177">
        <v>0</v>
      </c>
      <c r="H177">
        <v>0</v>
      </c>
      <c r="I177">
        <v>0</v>
      </c>
      <c r="J177">
        <v>0</v>
      </c>
      <c r="K177">
        <v>0</v>
      </c>
    </row>
    <row r="178" spans="2:11">
      <c r="B178" t="s">
        <v>362</v>
      </c>
      <c r="C178" s="837">
        <v>45199</v>
      </c>
      <c r="D178" t="s">
        <v>357</v>
      </c>
      <c r="E178">
        <v>2</v>
      </c>
      <c r="F178">
        <v>9</v>
      </c>
      <c r="G178">
        <v>4</v>
      </c>
      <c r="H178">
        <v>0</v>
      </c>
      <c r="I178">
        <v>0</v>
      </c>
      <c r="J178">
        <v>1</v>
      </c>
      <c r="K178">
        <v>3</v>
      </c>
    </row>
    <row r="179" spans="2:11">
      <c r="B179" t="s">
        <v>363</v>
      </c>
      <c r="C179" s="837">
        <v>45199</v>
      </c>
      <c r="D179" t="s">
        <v>357</v>
      </c>
      <c r="E179">
        <v>89</v>
      </c>
      <c r="F179">
        <v>29</v>
      </c>
      <c r="G179">
        <v>42</v>
      </c>
      <c r="H179">
        <v>3</v>
      </c>
      <c r="I179">
        <v>16</v>
      </c>
      <c r="J179">
        <v>4</v>
      </c>
      <c r="K179">
        <v>19</v>
      </c>
    </row>
    <row r="180" spans="2:11">
      <c r="B180" t="s">
        <v>362</v>
      </c>
      <c r="C180" s="837">
        <v>45199</v>
      </c>
      <c r="D180" t="s">
        <v>358</v>
      </c>
      <c r="E180">
        <v>1</v>
      </c>
      <c r="F180">
        <v>1</v>
      </c>
      <c r="G180">
        <v>1</v>
      </c>
      <c r="H180">
        <v>0</v>
      </c>
      <c r="I180">
        <v>0</v>
      </c>
      <c r="J180">
        <v>0</v>
      </c>
      <c r="K180">
        <v>1</v>
      </c>
    </row>
    <row r="181" spans="2:11">
      <c r="B181" t="s">
        <v>363</v>
      </c>
      <c r="C181" s="837">
        <v>45199</v>
      </c>
      <c r="D181" t="s">
        <v>358</v>
      </c>
      <c r="E181">
        <v>118</v>
      </c>
      <c r="F181">
        <v>25</v>
      </c>
      <c r="G181">
        <v>16</v>
      </c>
      <c r="H181">
        <v>0</v>
      </c>
      <c r="I181">
        <v>2</v>
      </c>
      <c r="J181">
        <v>1</v>
      </c>
      <c r="K181">
        <v>13</v>
      </c>
    </row>
    <row r="182" spans="2:11">
      <c r="B182" t="s">
        <v>362</v>
      </c>
      <c r="C182" s="837">
        <v>45199</v>
      </c>
      <c r="D182" t="s">
        <v>359</v>
      </c>
      <c r="E182">
        <v>0</v>
      </c>
      <c r="F182">
        <v>1</v>
      </c>
      <c r="G182">
        <v>0</v>
      </c>
      <c r="H182">
        <v>0</v>
      </c>
      <c r="I182">
        <v>0</v>
      </c>
      <c r="J182">
        <v>0</v>
      </c>
      <c r="K182">
        <v>0</v>
      </c>
    </row>
    <row r="183" spans="2:11">
      <c r="B183" t="s">
        <v>363</v>
      </c>
      <c r="C183" s="837">
        <v>45199</v>
      </c>
      <c r="D183" t="s">
        <v>359</v>
      </c>
      <c r="E183">
        <v>1</v>
      </c>
      <c r="F183">
        <v>0</v>
      </c>
      <c r="G183">
        <v>1</v>
      </c>
      <c r="H183">
        <v>0</v>
      </c>
      <c r="I183">
        <v>0</v>
      </c>
      <c r="J183">
        <v>0</v>
      </c>
      <c r="K183">
        <v>1</v>
      </c>
    </row>
    <row r="184" spans="2:11">
      <c r="B184" t="s">
        <v>362</v>
      </c>
      <c r="C184" s="837">
        <v>45199</v>
      </c>
      <c r="D184" t="s">
        <v>360</v>
      </c>
      <c r="E184">
        <v>0</v>
      </c>
      <c r="F184">
        <v>1</v>
      </c>
      <c r="G184">
        <v>7</v>
      </c>
      <c r="H184">
        <v>0</v>
      </c>
      <c r="I184">
        <v>0</v>
      </c>
      <c r="J184">
        <v>0</v>
      </c>
      <c r="K184">
        <v>7</v>
      </c>
    </row>
    <row r="185" spans="2:11">
      <c r="B185" t="s">
        <v>363</v>
      </c>
      <c r="C185" s="837">
        <v>45199</v>
      </c>
      <c r="D185" t="s">
        <v>360</v>
      </c>
      <c r="E185">
        <v>0</v>
      </c>
      <c r="F185">
        <v>1</v>
      </c>
      <c r="G185">
        <v>1</v>
      </c>
      <c r="H185">
        <v>0</v>
      </c>
      <c r="I185">
        <v>0</v>
      </c>
      <c r="J185">
        <v>0</v>
      </c>
      <c r="K185">
        <v>1</v>
      </c>
    </row>
    <row r="186" spans="2:11">
      <c r="B186" t="s">
        <v>363</v>
      </c>
      <c r="C186" s="837">
        <v>45199</v>
      </c>
      <c r="D186" t="s">
        <v>172</v>
      </c>
      <c r="E186">
        <v>0</v>
      </c>
      <c r="F186">
        <v>0</v>
      </c>
      <c r="G186">
        <v>0</v>
      </c>
      <c r="H186">
        <v>0</v>
      </c>
      <c r="I186">
        <v>0</v>
      </c>
      <c r="J186">
        <v>0</v>
      </c>
      <c r="K186">
        <v>0</v>
      </c>
    </row>
    <row r="187" spans="2:11">
      <c r="B187" t="s">
        <v>362</v>
      </c>
      <c r="C187" s="837">
        <v>45230</v>
      </c>
      <c r="D187" t="s">
        <v>357</v>
      </c>
      <c r="E187">
        <v>4</v>
      </c>
      <c r="F187">
        <v>4</v>
      </c>
      <c r="G187">
        <v>1</v>
      </c>
      <c r="H187">
        <v>0</v>
      </c>
      <c r="I187">
        <v>0</v>
      </c>
      <c r="J187">
        <v>1</v>
      </c>
      <c r="K187">
        <v>0</v>
      </c>
    </row>
    <row r="188" spans="2:11">
      <c r="B188" t="s">
        <v>363</v>
      </c>
      <c r="C188" s="837">
        <v>45230</v>
      </c>
      <c r="D188" t="s">
        <v>357</v>
      </c>
      <c r="E188">
        <v>82</v>
      </c>
      <c r="F188">
        <v>30</v>
      </c>
      <c r="G188">
        <v>55</v>
      </c>
      <c r="H188">
        <v>7</v>
      </c>
      <c r="I188">
        <v>15</v>
      </c>
      <c r="J188">
        <v>10</v>
      </c>
      <c r="K188">
        <v>23</v>
      </c>
    </row>
    <row r="189" spans="2:11">
      <c r="B189" t="s">
        <v>362</v>
      </c>
      <c r="C189" s="837">
        <v>45230</v>
      </c>
      <c r="D189" t="s">
        <v>358</v>
      </c>
      <c r="E189">
        <v>0</v>
      </c>
      <c r="F189">
        <v>4</v>
      </c>
      <c r="G189">
        <v>0</v>
      </c>
      <c r="H189">
        <v>0</v>
      </c>
      <c r="I189">
        <v>0</v>
      </c>
      <c r="J189">
        <v>0</v>
      </c>
      <c r="K189">
        <v>0</v>
      </c>
    </row>
    <row r="190" spans="2:11">
      <c r="B190" t="s">
        <v>363</v>
      </c>
      <c r="C190" s="837">
        <v>45230</v>
      </c>
      <c r="D190" t="s">
        <v>358</v>
      </c>
      <c r="E190">
        <v>96</v>
      </c>
      <c r="F190">
        <v>17</v>
      </c>
      <c r="G190">
        <v>21</v>
      </c>
      <c r="H190">
        <v>0</v>
      </c>
      <c r="I190">
        <v>1</v>
      </c>
      <c r="J190">
        <v>0</v>
      </c>
      <c r="K190">
        <v>20</v>
      </c>
    </row>
    <row r="191" spans="2:11">
      <c r="B191" t="s">
        <v>362</v>
      </c>
      <c r="C191" s="837">
        <v>45230</v>
      </c>
      <c r="D191" t="s">
        <v>359</v>
      </c>
      <c r="E191">
        <v>0</v>
      </c>
      <c r="F191">
        <v>0</v>
      </c>
      <c r="G191">
        <v>0</v>
      </c>
      <c r="H191">
        <v>0</v>
      </c>
      <c r="I191">
        <v>0</v>
      </c>
      <c r="J191">
        <v>0</v>
      </c>
      <c r="K191">
        <v>0</v>
      </c>
    </row>
    <row r="192" spans="2:11">
      <c r="B192" t="s">
        <v>363</v>
      </c>
      <c r="C192" s="837">
        <v>45230</v>
      </c>
      <c r="D192" t="s">
        <v>359</v>
      </c>
      <c r="E192">
        <v>1</v>
      </c>
      <c r="F192">
        <v>0</v>
      </c>
      <c r="G192">
        <v>2</v>
      </c>
      <c r="H192">
        <v>0</v>
      </c>
      <c r="I192">
        <v>0</v>
      </c>
      <c r="J192">
        <v>0</v>
      </c>
      <c r="K192">
        <v>2</v>
      </c>
    </row>
    <row r="193" spans="2:11">
      <c r="B193" t="s">
        <v>362</v>
      </c>
      <c r="C193" s="837">
        <v>45230</v>
      </c>
      <c r="D193" t="s">
        <v>360</v>
      </c>
      <c r="E193">
        <v>1</v>
      </c>
      <c r="F193">
        <v>1</v>
      </c>
      <c r="G193">
        <v>3</v>
      </c>
      <c r="H193">
        <v>0</v>
      </c>
      <c r="I193">
        <v>0</v>
      </c>
      <c r="J193">
        <v>0</v>
      </c>
      <c r="K193">
        <v>3</v>
      </c>
    </row>
    <row r="194" spans="2:11">
      <c r="B194" t="s">
        <v>363</v>
      </c>
      <c r="C194" s="837">
        <v>45230</v>
      </c>
      <c r="D194" t="s">
        <v>360</v>
      </c>
      <c r="E194">
        <v>0</v>
      </c>
      <c r="F194">
        <v>0</v>
      </c>
      <c r="G194">
        <v>0</v>
      </c>
      <c r="H194">
        <v>0</v>
      </c>
      <c r="I194">
        <v>0</v>
      </c>
      <c r="J194">
        <v>0</v>
      </c>
      <c r="K194">
        <v>0</v>
      </c>
    </row>
    <row r="195" spans="2:11">
      <c r="B195" t="s">
        <v>363</v>
      </c>
      <c r="C195" s="837">
        <v>45230</v>
      </c>
      <c r="D195" t="s">
        <v>172</v>
      </c>
      <c r="E195">
        <v>0</v>
      </c>
      <c r="F195">
        <v>0</v>
      </c>
      <c r="G195">
        <v>0</v>
      </c>
      <c r="H195">
        <v>0</v>
      </c>
      <c r="I195">
        <v>0</v>
      </c>
      <c r="J195">
        <v>0</v>
      </c>
      <c r="K195">
        <v>0</v>
      </c>
    </row>
    <row r="196" spans="2:11">
      <c r="B196" t="s">
        <v>362</v>
      </c>
      <c r="C196" s="837">
        <v>45260</v>
      </c>
      <c r="D196" t="s">
        <v>357</v>
      </c>
      <c r="E196">
        <v>5</v>
      </c>
      <c r="F196">
        <v>3</v>
      </c>
      <c r="G196">
        <v>3</v>
      </c>
      <c r="H196">
        <v>0</v>
      </c>
      <c r="I196">
        <v>1</v>
      </c>
      <c r="J196">
        <v>0</v>
      </c>
      <c r="K196">
        <v>2</v>
      </c>
    </row>
    <row r="197" spans="2:11">
      <c r="B197" t="s">
        <v>363</v>
      </c>
      <c r="C197" s="837">
        <v>45260</v>
      </c>
      <c r="D197" t="s">
        <v>357</v>
      </c>
      <c r="E197">
        <v>76</v>
      </c>
      <c r="F197">
        <v>26</v>
      </c>
      <c r="G197">
        <v>31</v>
      </c>
      <c r="H197">
        <v>5</v>
      </c>
      <c r="I197">
        <v>12</v>
      </c>
      <c r="J197">
        <v>2</v>
      </c>
      <c r="K197">
        <v>12</v>
      </c>
    </row>
    <row r="198" spans="2:11">
      <c r="B198" t="s">
        <v>362</v>
      </c>
      <c r="C198" s="837">
        <v>45260</v>
      </c>
      <c r="D198" t="s">
        <v>358</v>
      </c>
      <c r="E198">
        <v>0</v>
      </c>
      <c r="F198">
        <v>0</v>
      </c>
      <c r="G198">
        <v>0</v>
      </c>
      <c r="H198">
        <v>0</v>
      </c>
      <c r="I198">
        <v>0</v>
      </c>
      <c r="J198">
        <v>0</v>
      </c>
      <c r="K198">
        <v>0</v>
      </c>
    </row>
    <row r="199" spans="2:11">
      <c r="B199" t="s">
        <v>363</v>
      </c>
      <c r="C199" s="837">
        <v>45260</v>
      </c>
      <c r="D199" t="s">
        <v>358</v>
      </c>
      <c r="E199">
        <v>71</v>
      </c>
      <c r="F199">
        <v>28</v>
      </c>
      <c r="G199">
        <v>13</v>
      </c>
      <c r="H199">
        <v>0</v>
      </c>
      <c r="I199">
        <v>0</v>
      </c>
      <c r="J199">
        <v>4</v>
      </c>
      <c r="K199">
        <v>9</v>
      </c>
    </row>
    <row r="200" spans="2:11">
      <c r="B200" t="s">
        <v>362</v>
      </c>
      <c r="C200" s="837">
        <v>45260</v>
      </c>
      <c r="D200" t="s">
        <v>359</v>
      </c>
      <c r="E200">
        <v>0</v>
      </c>
      <c r="F200">
        <v>1</v>
      </c>
      <c r="G200">
        <v>0</v>
      </c>
      <c r="H200">
        <v>0</v>
      </c>
      <c r="I200">
        <v>0</v>
      </c>
      <c r="J200">
        <v>0</v>
      </c>
      <c r="K200">
        <v>0</v>
      </c>
    </row>
    <row r="201" spans="2:11">
      <c r="B201" t="s">
        <v>363</v>
      </c>
      <c r="C201" s="837">
        <v>45260</v>
      </c>
      <c r="D201" t="s">
        <v>359</v>
      </c>
      <c r="E201">
        <v>0</v>
      </c>
      <c r="F201">
        <v>0</v>
      </c>
      <c r="G201">
        <v>0</v>
      </c>
      <c r="H201">
        <v>0</v>
      </c>
      <c r="I201">
        <v>0</v>
      </c>
      <c r="J201">
        <v>0</v>
      </c>
      <c r="K201">
        <v>0</v>
      </c>
    </row>
    <row r="202" spans="2:11">
      <c r="B202" t="s">
        <v>362</v>
      </c>
      <c r="C202" s="837">
        <v>45260</v>
      </c>
      <c r="D202" t="s">
        <v>360</v>
      </c>
      <c r="E202">
        <v>0</v>
      </c>
      <c r="F202">
        <v>1</v>
      </c>
      <c r="G202">
        <v>0</v>
      </c>
      <c r="H202">
        <v>0</v>
      </c>
      <c r="I202">
        <v>0</v>
      </c>
      <c r="J202">
        <v>0</v>
      </c>
      <c r="K202">
        <v>0</v>
      </c>
    </row>
    <row r="203" spans="2:11">
      <c r="B203" t="s">
        <v>363</v>
      </c>
      <c r="C203" s="837">
        <v>45260</v>
      </c>
      <c r="D203" t="s">
        <v>360</v>
      </c>
      <c r="E203">
        <v>0</v>
      </c>
      <c r="F203">
        <v>0</v>
      </c>
      <c r="G203">
        <v>2</v>
      </c>
      <c r="H203">
        <v>0</v>
      </c>
      <c r="I203">
        <v>0</v>
      </c>
      <c r="J203">
        <v>0</v>
      </c>
      <c r="K203">
        <v>2</v>
      </c>
    </row>
    <row r="204" spans="2:11">
      <c r="B204" t="s">
        <v>363</v>
      </c>
      <c r="C204" s="837">
        <v>45260</v>
      </c>
      <c r="D204" t="s">
        <v>172</v>
      </c>
      <c r="E204">
        <v>0</v>
      </c>
      <c r="F204">
        <v>0</v>
      </c>
      <c r="G204">
        <v>0</v>
      </c>
      <c r="H204">
        <v>0</v>
      </c>
      <c r="I204">
        <v>0</v>
      </c>
      <c r="J204">
        <v>0</v>
      </c>
      <c r="K204">
        <v>0</v>
      </c>
    </row>
    <row r="205" spans="2:11">
      <c r="B205" t="s">
        <v>362</v>
      </c>
      <c r="C205" s="837">
        <v>45291</v>
      </c>
      <c r="D205" t="s">
        <v>357</v>
      </c>
      <c r="E205">
        <v>6</v>
      </c>
      <c r="F205">
        <v>8</v>
      </c>
      <c r="G205">
        <v>1</v>
      </c>
      <c r="H205">
        <v>0</v>
      </c>
      <c r="I205">
        <v>0</v>
      </c>
      <c r="J205">
        <v>0</v>
      </c>
      <c r="K205">
        <v>1</v>
      </c>
    </row>
    <row r="206" spans="2:11">
      <c r="B206" t="s">
        <v>363</v>
      </c>
      <c r="C206" s="837">
        <v>45291</v>
      </c>
      <c r="D206" t="s">
        <v>357</v>
      </c>
      <c r="E206">
        <v>110</v>
      </c>
      <c r="F206">
        <v>35</v>
      </c>
      <c r="G206">
        <v>51</v>
      </c>
      <c r="H206">
        <v>6</v>
      </c>
      <c r="I206">
        <v>17</v>
      </c>
      <c r="J206">
        <v>3</v>
      </c>
      <c r="K206">
        <v>25</v>
      </c>
    </row>
    <row r="207" spans="2:11">
      <c r="B207" t="s">
        <v>362</v>
      </c>
      <c r="C207" s="837">
        <v>45291</v>
      </c>
      <c r="D207" t="s">
        <v>358</v>
      </c>
      <c r="E207">
        <v>3</v>
      </c>
      <c r="F207">
        <v>1</v>
      </c>
      <c r="G207">
        <v>0</v>
      </c>
      <c r="H207">
        <v>0</v>
      </c>
      <c r="I207">
        <v>0</v>
      </c>
      <c r="J207">
        <v>0</v>
      </c>
      <c r="K207">
        <v>0</v>
      </c>
    </row>
    <row r="208" spans="2:11">
      <c r="B208" t="s">
        <v>363</v>
      </c>
      <c r="C208" s="837">
        <v>45291</v>
      </c>
      <c r="D208" t="s">
        <v>358</v>
      </c>
      <c r="E208">
        <v>119</v>
      </c>
      <c r="F208">
        <v>28</v>
      </c>
      <c r="G208">
        <v>21</v>
      </c>
      <c r="H208">
        <v>1</v>
      </c>
      <c r="I208">
        <v>2</v>
      </c>
      <c r="J208">
        <v>3</v>
      </c>
      <c r="K208">
        <v>15</v>
      </c>
    </row>
    <row r="209" spans="2:11">
      <c r="B209" t="s">
        <v>362</v>
      </c>
      <c r="C209" s="837">
        <v>45291</v>
      </c>
      <c r="D209" t="s">
        <v>359</v>
      </c>
      <c r="E209">
        <v>0</v>
      </c>
      <c r="F209">
        <v>0</v>
      </c>
      <c r="G209">
        <v>0</v>
      </c>
      <c r="H209">
        <v>0</v>
      </c>
      <c r="I209">
        <v>0</v>
      </c>
      <c r="J209">
        <v>0</v>
      </c>
      <c r="K209">
        <v>0</v>
      </c>
    </row>
    <row r="210" spans="2:11">
      <c r="B210" t="s">
        <v>363</v>
      </c>
      <c r="C210" s="837">
        <v>45291</v>
      </c>
      <c r="D210" t="s">
        <v>359</v>
      </c>
      <c r="E210">
        <v>1</v>
      </c>
      <c r="F210">
        <v>0</v>
      </c>
      <c r="G210">
        <v>0</v>
      </c>
      <c r="H210">
        <v>0</v>
      </c>
      <c r="I210">
        <v>0</v>
      </c>
      <c r="J210">
        <v>0</v>
      </c>
      <c r="K210">
        <v>0</v>
      </c>
    </row>
    <row r="211" spans="2:11">
      <c r="B211" t="s">
        <v>362</v>
      </c>
      <c r="C211" s="837">
        <v>45291</v>
      </c>
      <c r="D211" t="s">
        <v>360</v>
      </c>
      <c r="E211">
        <v>0</v>
      </c>
      <c r="F211">
        <v>0</v>
      </c>
      <c r="G211">
        <v>4</v>
      </c>
      <c r="H211">
        <v>0</v>
      </c>
      <c r="I211">
        <v>0</v>
      </c>
      <c r="J211">
        <v>0</v>
      </c>
      <c r="K211">
        <v>4</v>
      </c>
    </row>
    <row r="212" spans="2:11">
      <c r="B212" t="s">
        <v>363</v>
      </c>
      <c r="C212" s="837">
        <v>45291</v>
      </c>
      <c r="D212" t="s">
        <v>360</v>
      </c>
      <c r="E212">
        <v>1</v>
      </c>
      <c r="F212">
        <v>0</v>
      </c>
      <c r="G212">
        <v>2</v>
      </c>
      <c r="H212">
        <v>0</v>
      </c>
      <c r="I212">
        <v>0</v>
      </c>
      <c r="J212">
        <v>0</v>
      </c>
      <c r="K212">
        <v>2</v>
      </c>
    </row>
    <row r="213" spans="2:11">
      <c r="B213" t="s">
        <v>363</v>
      </c>
      <c r="C213" s="837">
        <v>45291</v>
      </c>
      <c r="D213" t="s">
        <v>172</v>
      </c>
      <c r="E213">
        <v>0</v>
      </c>
      <c r="F213">
        <v>0</v>
      </c>
      <c r="G213">
        <v>0</v>
      </c>
      <c r="H213">
        <v>0</v>
      </c>
      <c r="I213">
        <v>0</v>
      </c>
      <c r="J213">
        <v>0</v>
      </c>
      <c r="K213">
        <v>0</v>
      </c>
    </row>
    <row r="214" spans="2:11">
      <c r="B214" t="s">
        <v>362</v>
      </c>
      <c r="C214" s="837">
        <v>45322</v>
      </c>
      <c r="D214" t="s">
        <v>357</v>
      </c>
      <c r="E214">
        <v>4</v>
      </c>
      <c r="F214">
        <v>5</v>
      </c>
      <c r="G214">
        <v>2</v>
      </c>
      <c r="H214">
        <v>0</v>
      </c>
      <c r="I214">
        <v>0</v>
      </c>
      <c r="J214">
        <v>0</v>
      </c>
      <c r="K214">
        <v>2</v>
      </c>
    </row>
    <row r="215" spans="2:11">
      <c r="B215" t="s">
        <v>363</v>
      </c>
      <c r="C215" s="837">
        <v>45322</v>
      </c>
      <c r="D215" t="s">
        <v>357</v>
      </c>
      <c r="E215">
        <v>95</v>
      </c>
      <c r="F215">
        <v>18</v>
      </c>
      <c r="G215">
        <v>51</v>
      </c>
      <c r="H215">
        <v>4</v>
      </c>
      <c r="I215">
        <v>22</v>
      </c>
      <c r="J215">
        <v>3</v>
      </c>
      <c r="K215">
        <v>22</v>
      </c>
    </row>
    <row r="216" spans="2:11">
      <c r="B216" t="s">
        <v>362</v>
      </c>
      <c r="C216" s="837">
        <v>45322</v>
      </c>
      <c r="D216" t="s">
        <v>358</v>
      </c>
      <c r="E216">
        <v>4</v>
      </c>
      <c r="F216">
        <v>1</v>
      </c>
      <c r="G216">
        <v>0</v>
      </c>
      <c r="H216">
        <v>0</v>
      </c>
      <c r="I216">
        <v>0</v>
      </c>
      <c r="J216">
        <v>0</v>
      </c>
      <c r="K216">
        <v>0</v>
      </c>
    </row>
    <row r="217" spans="2:11">
      <c r="B217" t="s">
        <v>363</v>
      </c>
      <c r="C217" s="837">
        <v>45322</v>
      </c>
      <c r="D217" t="s">
        <v>358</v>
      </c>
      <c r="E217">
        <v>103</v>
      </c>
      <c r="F217">
        <v>21</v>
      </c>
      <c r="G217">
        <v>21</v>
      </c>
      <c r="H217">
        <v>0</v>
      </c>
      <c r="I217">
        <v>1</v>
      </c>
      <c r="J217">
        <v>5</v>
      </c>
      <c r="K217">
        <v>15</v>
      </c>
    </row>
    <row r="218" spans="2:11">
      <c r="B218" t="s">
        <v>362</v>
      </c>
      <c r="C218" s="837">
        <v>45322</v>
      </c>
      <c r="D218" t="s">
        <v>359</v>
      </c>
      <c r="E218">
        <v>0</v>
      </c>
      <c r="F218">
        <v>0</v>
      </c>
      <c r="G218">
        <v>0</v>
      </c>
      <c r="H218">
        <v>0</v>
      </c>
      <c r="I218">
        <v>0</v>
      </c>
      <c r="J218">
        <v>0</v>
      </c>
      <c r="K218">
        <v>0</v>
      </c>
    </row>
    <row r="219" spans="2:11">
      <c r="B219" t="s">
        <v>363</v>
      </c>
      <c r="C219" s="837">
        <v>45322</v>
      </c>
      <c r="D219" t="s">
        <v>359</v>
      </c>
      <c r="E219">
        <v>0</v>
      </c>
      <c r="F219">
        <v>0</v>
      </c>
      <c r="G219">
        <v>0</v>
      </c>
      <c r="H219">
        <v>0</v>
      </c>
      <c r="I219">
        <v>0</v>
      </c>
      <c r="J219">
        <v>0</v>
      </c>
      <c r="K219">
        <v>0</v>
      </c>
    </row>
    <row r="220" spans="2:11">
      <c r="B220" t="s">
        <v>362</v>
      </c>
      <c r="C220" s="837">
        <v>45322</v>
      </c>
      <c r="D220" t="s">
        <v>360</v>
      </c>
      <c r="E220">
        <v>0</v>
      </c>
      <c r="F220">
        <v>1</v>
      </c>
      <c r="G220">
        <v>2</v>
      </c>
      <c r="H220">
        <v>1</v>
      </c>
      <c r="I220">
        <v>0</v>
      </c>
      <c r="J220">
        <v>0</v>
      </c>
      <c r="K220">
        <v>1</v>
      </c>
    </row>
    <row r="221" spans="2:11">
      <c r="B221" t="s">
        <v>363</v>
      </c>
      <c r="C221" s="837">
        <v>45322</v>
      </c>
      <c r="D221" t="s">
        <v>360</v>
      </c>
      <c r="E221">
        <v>3</v>
      </c>
      <c r="F221">
        <v>0</v>
      </c>
      <c r="G221">
        <v>2</v>
      </c>
      <c r="H221">
        <v>0</v>
      </c>
      <c r="I221">
        <v>1</v>
      </c>
      <c r="J221">
        <v>0</v>
      </c>
      <c r="K221">
        <v>1</v>
      </c>
    </row>
    <row r="222" spans="2:11">
      <c r="B222" t="s">
        <v>363</v>
      </c>
      <c r="C222" s="837">
        <v>45322</v>
      </c>
      <c r="D222" t="s">
        <v>172</v>
      </c>
      <c r="E222">
        <v>0</v>
      </c>
      <c r="F222">
        <v>0</v>
      </c>
      <c r="G222">
        <v>0</v>
      </c>
      <c r="H222">
        <v>0</v>
      </c>
      <c r="I222">
        <v>0</v>
      </c>
      <c r="J222">
        <v>0</v>
      </c>
      <c r="K222">
        <v>0</v>
      </c>
    </row>
    <row r="223" spans="2:11">
      <c r="B223" t="s">
        <v>362</v>
      </c>
      <c r="C223" s="837">
        <v>45351</v>
      </c>
      <c r="D223" t="s">
        <v>357</v>
      </c>
      <c r="E223">
        <v>7</v>
      </c>
      <c r="F223">
        <v>4</v>
      </c>
      <c r="G223">
        <v>0</v>
      </c>
      <c r="H223">
        <v>0</v>
      </c>
      <c r="I223">
        <v>0</v>
      </c>
      <c r="J223">
        <v>0</v>
      </c>
      <c r="K223">
        <v>0</v>
      </c>
    </row>
    <row r="224" spans="2:11">
      <c r="B224" t="s">
        <v>363</v>
      </c>
      <c r="C224" s="837">
        <v>45351</v>
      </c>
      <c r="D224" t="s">
        <v>357</v>
      </c>
      <c r="E224">
        <v>100</v>
      </c>
      <c r="F224">
        <v>35</v>
      </c>
      <c r="G224">
        <v>45</v>
      </c>
      <c r="H224">
        <v>6</v>
      </c>
      <c r="I224">
        <v>11</v>
      </c>
      <c r="J224">
        <v>7</v>
      </c>
      <c r="K224">
        <v>21</v>
      </c>
    </row>
    <row r="225" spans="2:11">
      <c r="B225" t="s">
        <v>362</v>
      </c>
      <c r="C225" s="837">
        <v>45351</v>
      </c>
      <c r="D225" t="s">
        <v>358</v>
      </c>
      <c r="E225">
        <v>8</v>
      </c>
      <c r="F225">
        <v>1</v>
      </c>
      <c r="G225">
        <v>0</v>
      </c>
      <c r="H225">
        <v>0</v>
      </c>
      <c r="I225">
        <v>0</v>
      </c>
      <c r="J225">
        <v>0</v>
      </c>
      <c r="K225">
        <v>0</v>
      </c>
    </row>
    <row r="226" spans="2:11">
      <c r="B226" t="s">
        <v>363</v>
      </c>
      <c r="C226" s="837">
        <v>45351</v>
      </c>
      <c r="D226" t="s">
        <v>358</v>
      </c>
      <c r="E226">
        <v>135</v>
      </c>
      <c r="F226">
        <v>38</v>
      </c>
      <c r="G226">
        <v>22</v>
      </c>
      <c r="H226">
        <v>0</v>
      </c>
      <c r="I226">
        <v>0</v>
      </c>
      <c r="J226">
        <v>11</v>
      </c>
      <c r="K226">
        <v>11</v>
      </c>
    </row>
    <row r="227" spans="2:11">
      <c r="B227" t="s">
        <v>362</v>
      </c>
      <c r="C227" s="837">
        <v>45351</v>
      </c>
      <c r="D227" t="s">
        <v>359</v>
      </c>
      <c r="E227">
        <v>0</v>
      </c>
      <c r="F227">
        <v>1</v>
      </c>
      <c r="G227">
        <v>0</v>
      </c>
      <c r="H227">
        <v>0</v>
      </c>
      <c r="I227">
        <v>0</v>
      </c>
      <c r="J227">
        <v>0</v>
      </c>
      <c r="K227">
        <v>0</v>
      </c>
    </row>
    <row r="228" spans="2:11">
      <c r="B228" t="s">
        <v>363</v>
      </c>
      <c r="C228" s="837">
        <v>45351</v>
      </c>
      <c r="D228" t="s">
        <v>359</v>
      </c>
      <c r="E228">
        <v>0</v>
      </c>
      <c r="F228">
        <v>0</v>
      </c>
      <c r="G228">
        <v>0</v>
      </c>
      <c r="H228">
        <v>0</v>
      </c>
      <c r="I228">
        <v>0</v>
      </c>
      <c r="J228">
        <v>0</v>
      </c>
      <c r="K228">
        <v>0</v>
      </c>
    </row>
    <row r="229" spans="2:11">
      <c r="B229" t="s">
        <v>362</v>
      </c>
      <c r="C229" s="837">
        <v>45351</v>
      </c>
      <c r="D229" t="s">
        <v>360</v>
      </c>
      <c r="E229">
        <v>0</v>
      </c>
      <c r="F229">
        <v>0</v>
      </c>
      <c r="G229">
        <v>6</v>
      </c>
      <c r="H229">
        <v>0</v>
      </c>
      <c r="I229">
        <v>0</v>
      </c>
      <c r="J229">
        <v>0</v>
      </c>
      <c r="K229">
        <v>6</v>
      </c>
    </row>
    <row r="230" spans="2:11">
      <c r="B230" t="s">
        <v>363</v>
      </c>
      <c r="C230" s="837">
        <v>45351</v>
      </c>
      <c r="D230" t="s">
        <v>360</v>
      </c>
      <c r="E230">
        <v>6</v>
      </c>
      <c r="F230">
        <v>1</v>
      </c>
      <c r="G230">
        <v>1</v>
      </c>
      <c r="H230">
        <v>0</v>
      </c>
      <c r="I230">
        <v>0</v>
      </c>
      <c r="J230">
        <v>1</v>
      </c>
      <c r="K230">
        <v>0</v>
      </c>
    </row>
    <row r="231" spans="2:11">
      <c r="B231" t="s">
        <v>363</v>
      </c>
      <c r="C231" s="837">
        <v>45351</v>
      </c>
      <c r="D231" t="s">
        <v>172</v>
      </c>
      <c r="E231">
        <v>0</v>
      </c>
      <c r="F231">
        <v>0</v>
      </c>
      <c r="G231">
        <v>0</v>
      </c>
      <c r="H231">
        <v>0</v>
      </c>
      <c r="I231">
        <v>0</v>
      </c>
      <c r="J231">
        <v>0</v>
      </c>
      <c r="K231">
        <v>0</v>
      </c>
    </row>
    <row r="232" spans="2:11">
      <c r="B232" t="s">
        <v>362</v>
      </c>
      <c r="C232" s="837">
        <v>45382</v>
      </c>
      <c r="D232" t="s">
        <v>357</v>
      </c>
      <c r="E232">
        <v>11</v>
      </c>
      <c r="F232">
        <v>17</v>
      </c>
      <c r="G232">
        <v>8</v>
      </c>
      <c r="H232">
        <v>0</v>
      </c>
      <c r="I232">
        <v>0</v>
      </c>
      <c r="J232">
        <v>1</v>
      </c>
      <c r="K232">
        <v>7</v>
      </c>
    </row>
    <row r="233" spans="2:11">
      <c r="B233" t="s">
        <v>363</v>
      </c>
      <c r="C233" s="837">
        <v>45382</v>
      </c>
      <c r="D233" t="s">
        <v>357</v>
      </c>
      <c r="E233">
        <v>286</v>
      </c>
      <c r="F233">
        <v>113</v>
      </c>
      <c r="G233">
        <v>201</v>
      </c>
      <c r="H233">
        <v>23</v>
      </c>
      <c r="I233">
        <v>62</v>
      </c>
      <c r="J233">
        <v>30</v>
      </c>
      <c r="K233">
        <v>86</v>
      </c>
    </row>
    <row r="234" spans="2:11">
      <c r="B234" t="s">
        <v>362</v>
      </c>
      <c r="C234" s="837">
        <v>45382</v>
      </c>
      <c r="D234" t="s">
        <v>358</v>
      </c>
      <c r="E234">
        <v>19</v>
      </c>
      <c r="F234">
        <v>5</v>
      </c>
      <c r="G234">
        <v>1</v>
      </c>
      <c r="H234">
        <v>0</v>
      </c>
      <c r="I234">
        <v>0</v>
      </c>
      <c r="J234">
        <v>0</v>
      </c>
      <c r="K234">
        <v>1</v>
      </c>
    </row>
    <row r="235" spans="2:11">
      <c r="B235" t="s">
        <v>363</v>
      </c>
      <c r="C235" s="837">
        <v>45382</v>
      </c>
      <c r="D235" t="s">
        <v>358</v>
      </c>
      <c r="E235">
        <v>413</v>
      </c>
      <c r="F235">
        <v>117</v>
      </c>
      <c r="G235">
        <v>62</v>
      </c>
      <c r="H235">
        <v>2</v>
      </c>
      <c r="I235">
        <v>5</v>
      </c>
      <c r="J235">
        <v>8</v>
      </c>
      <c r="K235">
        <v>47</v>
      </c>
    </row>
    <row r="236" spans="2:11">
      <c r="B236" t="s">
        <v>362</v>
      </c>
      <c r="C236" s="837">
        <v>45382</v>
      </c>
      <c r="D236" t="s">
        <v>359</v>
      </c>
      <c r="E236">
        <v>0</v>
      </c>
      <c r="F236">
        <v>1</v>
      </c>
      <c r="G236">
        <v>0</v>
      </c>
      <c r="H236">
        <v>0</v>
      </c>
      <c r="I236">
        <v>0</v>
      </c>
      <c r="J236">
        <v>0</v>
      </c>
      <c r="K236">
        <v>0</v>
      </c>
    </row>
    <row r="237" spans="2:11">
      <c r="B237" t="s">
        <v>363</v>
      </c>
      <c r="C237" s="837">
        <v>45382</v>
      </c>
      <c r="D237" t="s">
        <v>359</v>
      </c>
      <c r="E237">
        <v>1</v>
      </c>
      <c r="F237">
        <v>1</v>
      </c>
      <c r="G237">
        <v>1</v>
      </c>
      <c r="H237">
        <v>0</v>
      </c>
      <c r="I237">
        <v>0</v>
      </c>
      <c r="J237">
        <v>1</v>
      </c>
      <c r="K237">
        <v>0</v>
      </c>
    </row>
    <row r="238" spans="2:11">
      <c r="B238" t="s">
        <v>362</v>
      </c>
      <c r="C238" s="837">
        <v>45382</v>
      </c>
      <c r="D238" t="s">
        <v>360</v>
      </c>
      <c r="E238">
        <v>2</v>
      </c>
      <c r="F238">
        <v>7</v>
      </c>
      <c r="G238">
        <v>7</v>
      </c>
      <c r="H238">
        <v>0</v>
      </c>
      <c r="I238">
        <v>0</v>
      </c>
      <c r="J238">
        <v>1</v>
      </c>
      <c r="K238">
        <v>6</v>
      </c>
    </row>
    <row r="239" spans="2:11">
      <c r="B239" t="s">
        <v>363</v>
      </c>
      <c r="C239" s="837">
        <v>45382</v>
      </c>
      <c r="D239" t="s">
        <v>360</v>
      </c>
      <c r="E239">
        <v>18</v>
      </c>
      <c r="F239">
        <v>6</v>
      </c>
      <c r="G239">
        <v>10</v>
      </c>
      <c r="H239">
        <v>0</v>
      </c>
      <c r="I239">
        <v>1</v>
      </c>
      <c r="J239">
        <v>0</v>
      </c>
      <c r="K239">
        <v>9</v>
      </c>
    </row>
    <row r="240" spans="2:11">
      <c r="B240" t="s">
        <v>363</v>
      </c>
      <c r="C240" s="837">
        <v>45382</v>
      </c>
      <c r="D240" t="s">
        <v>172</v>
      </c>
      <c r="E240">
        <v>0</v>
      </c>
      <c r="F240">
        <v>0</v>
      </c>
      <c r="G240">
        <v>0</v>
      </c>
      <c r="H240">
        <v>0</v>
      </c>
      <c r="I240">
        <v>0</v>
      </c>
      <c r="J240">
        <v>0</v>
      </c>
      <c r="K240">
        <v>0</v>
      </c>
    </row>
    <row r="241" spans="2:11">
      <c r="B241" t="s">
        <v>362</v>
      </c>
      <c r="C241" s="837">
        <v>45412</v>
      </c>
      <c r="D241" t="s">
        <v>357</v>
      </c>
      <c r="E241">
        <v>6</v>
      </c>
      <c r="F241">
        <v>3</v>
      </c>
      <c r="G241">
        <v>10</v>
      </c>
      <c r="H241">
        <v>0</v>
      </c>
      <c r="I241">
        <v>0</v>
      </c>
      <c r="J241">
        <v>0</v>
      </c>
      <c r="K241">
        <v>10</v>
      </c>
    </row>
    <row r="242" spans="2:11">
      <c r="B242" t="s">
        <v>363</v>
      </c>
      <c r="C242" s="837">
        <v>45412</v>
      </c>
      <c r="D242" t="s">
        <v>357</v>
      </c>
      <c r="E242">
        <v>45</v>
      </c>
      <c r="F242">
        <v>13</v>
      </c>
      <c r="G242">
        <v>54</v>
      </c>
      <c r="H242">
        <v>3</v>
      </c>
      <c r="I242">
        <v>2</v>
      </c>
      <c r="J242">
        <v>2</v>
      </c>
      <c r="K242">
        <v>47</v>
      </c>
    </row>
    <row r="243" spans="2:11">
      <c r="B243" t="s">
        <v>362</v>
      </c>
      <c r="C243" s="837">
        <v>45412</v>
      </c>
      <c r="D243" t="s">
        <v>358</v>
      </c>
      <c r="E243">
        <v>0</v>
      </c>
      <c r="F243">
        <v>1</v>
      </c>
      <c r="G243">
        <v>3</v>
      </c>
      <c r="H243">
        <v>0</v>
      </c>
      <c r="I243">
        <v>0</v>
      </c>
      <c r="J243">
        <v>0</v>
      </c>
      <c r="K243">
        <v>3</v>
      </c>
    </row>
    <row r="244" spans="2:11">
      <c r="B244" t="s">
        <v>363</v>
      </c>
      <c r="C244" s="837">
        <v>45412</v>
      </c>
      <c r="D244" t="s">
        <v>358</v>
      </c>
      <c r="E244">
        <v>20</v>
      </c>
      <c r="F244">
        <v>26</v>
      </c>
      <c r="G244">
        <v>29</v>
      </c>
      <c r="H244">
        <v>0</v>
      </c>
      <c r="I244">
        <v>0</v>
      </c>
      <c r="J244">
        <v>0</v>
      </c>
      <c r="K244">
        <v>29</v>
      </c>
    </row>
    <row r="245" spans="2:11">
      <c r="B245" t="s">
        <v>362</v>
      </c>
      <c r="C245" s="837">
        <v>45412</v>
      </c>
      <c r="D245" t="s">
        <v>359</v>
      </c>
      <c r="E245">
        <v>0</v>
      </c>
      <c r="F245">
        <v>0</v>
      </c>
      <c r="G245">
        <v>0</v>
      </c>
      <c r="H245">
        <v>0</v>
      </c>
      <c r="I245">
        <v>0</v>
      </c>
      <c r="J245">
        <v>0</v>
      </c>
      <c r="K245">
        <v>0</v>
      </c>
    </row>
    <row r="246" spans="2:11">
      <c r="B246" t="s">
        <v>363</v>
      </c>
      <c r="C246" s="837">
        <v>45412</v>
      </c>
      <c r="D246" t="s">
        <v>359</v>
      </c>
      <c r="E246">
        <v>0</v>
      </c>
      <c r="F246">
        <v>0</v>
      </c>
      <c r="G246">
        <v>0</v>
      </c>
      <c r="H246">
        <v>0</v>
      </c>
      <c r="I246">
        <v>0</v>
      </c>
      <c r="J246">
        <v>0</v>
      </c>
      <c r="K246">
        <v>0</v>
      </c>
    </row>
    <row r="247" spans="2:11">
      <c r="B247" t="s">
        <v>362</v>
      </c>
      <c r="C247" s="837">
        <v>45412</v>
      </c>
      <c r="D247" t="s">
        <v>360</v>
      </c>
      <c r="E247">
        <v>1</v>
      </c>
      <c r="F247">
        <v>0</v>
      </c>
      <c r="G247">
        <v>8</v>
      </c>
      <c r="H247">
        <v>0</v>
      </c>
      <c r="I247">
        <v>0</v>
      </c>
      <c r="J247">
        <v>0</v>
      </c>
      <c r="K247">
        <v>8</v>
      </c>
    </row>
    <row r="248" spans="2:11">
      <c r="B248" t="s">
        <v>363</v>
      </c>
      <c r="C248" s="837">
        <v>45412</v>
      </c>
      <c r="D248" t="s">
        <v>360</v>
      </c>
      <c r="E248">
        <v>0</v>
      </c>
      <c r="F248">
        <v>0</v>
      </c>
      <c r="G248">
        <v>2</v>
      </c>
      <c r="H248">
        <v>0</v>
      </c>
      <c r="I248">
        <v>0</v>
      </c>
      <c r="J248">
        <v>1</v>
      </c>
      <c r="K248">
        <v>1</v>
      </c>
    </row>
    <row r="249" spans="2:11">
      <c r="B249" t="s">
        <v>363</v>
      </c>
      <c r="C249" s="837">
        <v>45412</v>
      </c>
      <c r="D249" t="s">
        <v>172</v>
      </c>
      <c r="E249">
        <v>0</v>
      </c>
      <c r="F249">
        <v>0</v>
      </c>
      <c r="G249">
        <v>0</v>
      </c>
      <c r="H249">
        <v>0</v>
      </c>
      <c r="I249">
        <v>0</v>
      </c>
      <c r="J249">
        <v>0</v>
      </c>
      <c r="K249">
        <v>0</v>
      </c>
    </row>
    <row r="250" spans="2:11">
      <c r="B250" t="s">
        <v>362</v>
      </c>
      <c r="C250" s="837">
        <v>45443</v>
      </c>
      <c r="D250" t="s">
        <v>357</v>
      </c>
      <c r="E250">
        <v>1</v>
      </c>
      <c r="F250">
        <v>2</v>
      </c>
      <c r="G250">
        <v>8</v>
      </c>
      <c r="H250">
        <v>0</v>
      </c>
      <c r="I250">
        <v>0</v>
      </c>
      <c r="J250">
        <v>0</v>
      </c>
      <c r="K250">
        <v>8</v>
      </c>
    </row>
    <row r="251" spans="2:11">
      <c r="B251" t="s">
        <v>363</v>
      </c>
      <c r="C251" s="837">
        <v>45443</v>
      </c>
      <c r="D251" t="s">
        <v>357</v>
      </c>
      <c r="E251">
        <v>28</v>
      </c>
      <c r="F251">
        <v>7</v>
      </c>
      <c r="G251">
        <v>72</v>
      </c>
      <c r="H251">
        <v>2</v>
      </c>
      <c r="I251">
        <v>0</v>
      </c>
      <c r="J251">
        <v>1</v>
      </c>
      <c r="K251">
        <v>69</v>
      </c>
    </row>
    <row r="252" spans="2:11">
      <c r="B252" t="s">
        <v>362</v>
      </c>
      <c r="C252" s="837">
        <v>45443</v>
      </c>
      <c r="D252" t="s">
        <v>358</v>
      </c>
      <c r="E252">
        <v>0</v>
      </c>
      <c r="F252">
        <v>0</v>
      </c>
      <c r="G252">
        <v>2</v>
      </c>
      <c r="H252">
        <v>0</v>
      </c>
      <c r="I252">
        <v>0</v>
      </c>
      <c r="J252">
        <v>0</v>
      </c>
      <c r="K252">
        <v>2</v>
      </c>
    </row>
    <row r="253" spans="2:11">
      <c r="B253" t="s">
        <v>363</v>
      </c>
      <c r="C253" s="837">
        <v>45443</v>
      </c>
      <c r="D253" t="s">
        <v>358</v>
      </c>
      <c r="E253">
        <v>44</v>
      </c>
      <c r="F253">
        <v>9</v>
      </c>
      <c r="G253">
        <v>73</v>
      </c>
      <c r="H253">
        <v>1</v>
      </c>
      <c r="I253">
        <v>0</v>
      </c>
      <c r="J253">
        <v>0</v>
      </c>
      <c r="K253">
        <v>72</v>
      </c>
    </row>
    <row r="254" spans="2:11">
      <c r="B254" t="s">
        <v>362</v>
      </c>
      <c r="C254" s="837">
        <v>45443</v>
      </c>
      <c r="D254" t="s">
        <v>359</v>
      </c>
      <c r="E254">
        <v>0</v>
      </c>
      <c r="F254">
        <v>0</v>
      </c>
      <c r="G254">
        <v>0</v>
      </c>
      <c r="H254">
        <v>0</v>
      </c>
      <c r="I254">
        <v>0</v>
      </c>
      <c r="J254">
        <v>0</v>
      </c>
      <c r="K254">
        <v>0</v>
      </c>
    </row>
    <row r="255" spans="2:11">
      <c r="B255" t="s">
        <v>363</v>
      </c>
      <c r="C255" s="837">
        <v>45443</v>
      </c>
      <c r="D255" t="s">
        <v>359</v>
      </c>
      <c r="E255">
        <v>0</v>
      </c>
      <c r="F255">
        <v>0</v>
      </c>
      <c r="G255">
        <v>1</v>
      </c>
      <c r="H255">
        <v>0</v>
      </c>
      <c r="I255">
        <v>0</v>
      </c>
      <c r="J255">
        <v>0</v>
      </c>
      <c r="K255">
        <v>1</v>
      </c>
    </row>
    <row r="256" spans="2:11">
      <c r="B256" t="s">
        <v>362</v>
      </c>
      <c r="C256" s="837">
        <v>45443</v>
      </c>
      <c r="D256" t="s">
        <v>360</v>
      </c>
      <c r="E256">
        <v>0</v>
      </c>
      <c r="F256">
        <v>0</v>
      </c>
      <c r="G256">
        <v>3</v>
      </c>
      <c r="H256">
        <v>0</v>
      </c>
      <c r="I256">
        <v>0</v>
      </c>
      <c r="J256">
        <v>0</v>
      </c>
      <c r="K256">
        <v>3</v>
      </c>
    </row>
    <row r="257" spans="2:11">
      <c r="B257" t="s">
        <v>363</v>
      </c>
      <c r="C257" s="837">
        <v>45443</v>
      </c>
      <c r="D257" t="s">
        <v>360</v>
      </c>
      <c r="E257">
        <v>0</v>
      </c>
      <c r="F257">
        <v>0</v>
      </c>
      <c r="G257">
        <v>3</v>
      </c>
      <c r="H257">
        <v>0</v>
      </c>
      <c r="I257">
        <v>0</v>
      </c>
      <c r="J257">
        <v>0</v>
      </c>
      <c r="K257">
        <v>3</v>
      </c>
    </row>
    <row r="258" spans="2:11">
      <c r="B258" t="s">
        <v>363</v>
      </c>
      <c r="C258" s="837">
        <v>45443</v>
      </c>
      <c r="D258" t="s">
        <v>172</v>
      </c>
      <c r="E258">
        <v>0</v>
      </c>
      <c r="F258">
        <v>0</v>
      </c>
      <c r="G258">
        <v>0</v>
      </c>
      <c r="H258">
        <v>0</v>
      </c>
      <c r="I258">
        <v>0</v>
      </c>
      <c r="J258">
        <v>0</v>
      </c>
      <c r="K258">
        <v>0</v>
      </c>
    </row>
    <row r="259" spans="2:11">
      <c r="B259" t="s">
        <v>362</v>
      </c>
      <c r="C259" s="837">
        <v>45473</v>
      </c>
      <c r="D259" t="s">
        <v>357</v>
      </c>
      <c r="E259">
        <v>5</v>
      </c>
      <c r="F259">
        <v>2</v>
      </c>
      <c r="G259">
        <v>1</v>
      </c>
      <c r="H259">
        <v>0</v>
      </c>
      <c r="I259">
        <v>0</v>
      </c>
      <c r="J259">
        <v>0</v>
      </c>
      <c r="K259">
        <v>1</v>
      </c>
    </row>
    <row r="260" spans="2:11">
      <c r="B260" t="s">
        <v>363</v>
      </c>
      <c r="C260" s="837">
        <v>45473</v>
      </c>
      <c r="D260" t="s">
        <v>357</v>
      </c>
      <c r="E260">
        <v>47</v>
      </c>
      <c r="F260">
        <v>8</v>
      </c>
      <c r="G260">
        <v>67</v>
      </c>
      <c r="H260">
        <v>1</v>
      </c>
      <c r="I260">
        <v>4</v>
      </c>
      <c r="J260">
        <v>6</v>
      </c>
      <c r="K260">
        <v>56</v>
      </c>
    </row>
    <row r="261" spans="2:11">
      <c r="B261" t="s">
        <v>362</v>
      </c>
      <c r="C261" s="837">
        <v>45473</v>
      </c>
      <c r="D261" t="s">
        <v>358</v>
      </c>
      <c r="E261">
        <v>0</v>
      </c>
      <c r="F261">
        <v>0</v>
      </c>
      <c r="G261">
        <v>1</v>
      </c>
      <c r="H261">
        <v>0</v>
      </c>
      <c r="I261">
        <v>0</v>
      </c>
      <c r="J261">
        <v>0</v>
      </c>
      <c r="K261">
        <v>1</v>
      </c>
    </row>
    <row r="262" spans="2:11">
      <c r="B262" t="s">
        <v>363</v>
      </c>
      <c r="C262" s="837">
        <v>45473</v>
      </c>
      <c r="D262" t="s">
        <v>358</v>
      </c>
      <c r="E262">
        <v>59</v>
      </c>
      <c r="F262">
        <v>22</v>
      </c>
      <c r="G262">
        <v>57</v>
      </c>
      <c r="H262">
        <v>0</v>
      </c>
      <c r="I262">
        <v>0</v>
      </c>
      <c r="J262">
        <v>0</v>
      </c>
      <c r="K262">
        <v>57</v>
      </c>
    </row>
    <row r="263" spans="2:11">
      <c r="B263" t="s">
        <v>362</v>
      </c>
      <c r="C263" s="837">
        <v>45473</v>
      </c>
      <c r="D263" t="s">
        <v>359</v>
      </c>
      <c r="E263">
        <v>0</v>
      </c>
      <c r="F263">
        <v>0</v>
      </c>
      <c r="G263">
        <v>0</v>
      </c>
      <c r="H263">
        <v>0</v>
      </c>
      <c r="I263">
        <v>0</v>
      </c>
      <c r="J263">
        <v>0</v>
      </c>
      <c r="K263">
        <v>0</v>
      </c>
    </row>
    <row r="264" spans="2:11">
      <c r="B264" t="s">
        <v>363</v>
      </c>
      <c r="C264" s="837">
        <v>45473</v>
      </c>
      <c r="D264" t="s">
        <v>359</v>
      </c>
      <c r="E264">
        <v>1</v>
      </c>
      <c r="F264">
        <v>0</v>
      </c>
      <c r="G264">
        <v>0</v>
      </c>
      <c r="H264">
        <v>0</v>
      </c>
      <c r="I264">
        <v>0</v>
      </c>
      <c r="J264">
        <v>0</v>
      </c>
      <c r="K264">
        <v>0</v>
      </c>
    </row>
    <row r="265" spans="2:11">
      <c r="B265" t="s">
        <v>362</v>
      </c>
      <c r="C265" s="837">
        <v>45473</v>
      </c>
      <c r="D265" t="s">
        <v>360</v>
      </c>
      <c r="E265">
        <v>0</v>
      </c>
      <c r="F265">
        <v>1</v>
      </c>
      <c r="G265">
        <v>2</v>
      </c>
      <c r="H265">
        <v>0</v>
      </c>
      <c r="I265">
        <v>0</v>
      </c>
      <c r="J265">
        <v>0</v>
      </c>
      <c r="K265">
        <v>2</v>
      </c>
    </row>
    <row r="266" spans="2:11">
      <c r="B266" t="s">
        <v>363</v>
      </c>
      <c r="C266" s="837">
        <v>45473</v>
      </c>
      <c r="D266" t="s">
        <v>360</v>
      </c>
      <c r="E266">
        <v>0</v>
      </c>
      <c r="F266">
        <v>0</v>
      </c>
      <c r="G266">
        <v>0</v>
      </c>
      <c r="H266">
        <v>0</v>
      </c>
      <c r="I266">
        <v>0</v>
      </c>
      <c r="J266">
        <v>0</v>
      </c>
      <c r="K266">
        <v>0</v>
      </c>
    </row>
    <row r="267" spans="2:11">
      <c r="B267" t="s">
        <v>363</v>
      </c>
      <c r="C267" s="837">
        <v>45473</v>
      </c>
      <c r="D267" t="s">
        <v>172</v>
      </c>
      <c r="E267">
        <v>0</v>
      </c>
      <c r="F267">
        <v>0</v>
      </c>
      <c r="G267">
        <v>0</v>
      </c>
      <c r="H267">
        <v>0</v>
      </c>
      <c r="I267">
        <v>0</v>
      </c>
      <c r="J267">
        <v>0</v>
      </c>
      <c r="K267">
        <v>0</v>
      </c>
    </row>
    <row r="268" spans="2:11">
      <c r="B268" t="s">
        <v>362</v>
      </c>
      <c r="C268" s="837">
        <v>45504</v>
      </c>
      <c r="D268" t="s">
        <v>357</v>
      </c>
      <c r="E268">
        <v>2</v>
      </c>
      <c r="F268">
        <v>5</v>
      </c>
      <c r="G268">
        <v>4</v>
      </c>
      <c r="H268">
        <v>0</v>
      </c>
      <c r="I268">
        <v>0</v>
      </c>
      <c r="J268">
        <v>0</v>
      </c>
      <c r="K268">
        <v>4</v>
      </c>
    </row>
    <row r="269" spans="2:11">
      <c r="B269" t="s">
        <v>363</v>
      </c>
      <c r="C269" s="837">
        <v>45504</v>
      </c>
      <c r="D269" t="s">
        <v>357</v>
      </c>
      <c r="E269">
        <v>43</v>
      </c>
      <c r="F269">
        <v>15</v>
      </c>
      <c r="G269">
        <v>95</v>
      </c>
      <c r="H269">
        <v>9</v>
      </c>
      <c r="I269">
        <v>8</v>
      </c>
      <c r="J269">
        <v>3</v>
      </c>
      <c r="K269">
        <v>75</v>
      </c>
    </row>
    <row r="270" spans="2:11">
      <c r="B270" t="s">
        <v>362</v>
      </c>
      <c r="C270" s="837">
        <v>45504</v>
      </c>
      <c r="D270" t="s">
        <v>358</v>
      </c>
      <c r="E270">
        <v>0</v>
      </c>
      <c r="F270">
        <v>0</v>
      </c>
      <c r="G270">
        <v>4</v>
      </c>
      <c r="H270">
        <v>0</v>
      </c>
      <c r="I270">
        <v>0</v>
      </c>
      <c r="J270">
        <v>0</v>
      </c>
      <c r="K270">
        <v>4</v>
      </c>
    </row>
    <row r="271" spans="2:11">
      <c r="B271" t="s">
        <v>363</v>
      </c>
      <c r="C271" s="837">
        <v>45504</v>
      </c>
      <c r="D271" t="s">
        <v>358</v>
      </c>
      <c r="E271">
        <v>41</v>
      </c>
      <c r="F271">
        <v>21</v>
      </c>
      <c r="G271">
        <v>104</v>
      </c>
      <c r="H271">
        <v>1</v>
      </c>
      <c r="I271">
        <v>0</v>
      </c>
      <c r="J271">
        <v>2</v>
      </c>
      <c r="K271">
        <v>101</v>
      </c>
    </row>
    <row r="272" spans="2:11">
      <c r="B272" t="s">
        <v>362</v>
      </c>
      <c r="C272" s="837">
        <v>45504</v>
      </c>
      <c r="D272" t="s">
        <v>359</v>
      </c>
      <c r="E272">
        <v>0</v>
      </c>
      <c r="F272">
        <v>0</v>
      </c>
      <c r="G272">
        <v>0</v>
      </c>
      <c r="H272">
        <v>0</v>
      </c>
      <c r="I272">
        <v>0</v>
      </c>
      <c r="J272">
        <v>0</v>
      </c>
      <c r="K272">
        <v>0</v>
      </c>
    </row>
    <row r="273" spans="2:11">
      <c r="B273" t="s">
        <v>363</v>
      </c>
      <c r="C273" s="837">
        <v>45504</v>
      </c>
      <c r="D273" t="s">
        <v>359</v>
      </c>
      <c r="E273">
        <v>1</v>
      </c>
      <c r="F273">
        <v>0</v>
      </c>
      <c r="G273">
        <v>1</v>
      </c>
      <c r="H273">
        <v>0</v>
      </c>
      <c r="I273">
        <v>0</v>
      </c>
      <c r="J273">
        <v>0</v>
      </c>
      <c r="K273">
        <v>1</v>
      </c>
    </row>
    <row r="274" spans="2:11">
      <c r="B274" t="s">
        <v>362</v>
      </c>
      <c r="C274" s="837">
        <v>45504</v>
      </c>
      <c r="D274" t="s">
        <v>360</v>
      </c>
      <c r="E274">
        <v>1</v>
      </c>
      <c r="F274">
        <v>0</v>
      </c>
      <c r="G274">
        <v>0</v>
      </c>
      <c r="H274">
        <v>0</v>
      </c>
      <c r="I274">
        <v>0</v>
      </c>
      <c r="J274">
        <v>0</v>
      </c>
      <c r="K274">
        <v>0</v>
      </c>
    </row>
    <row r="275" spans="2:11">
      <c r="B275" t="s">
        <v>363</v>
      </c>
      <c r="C275" s="837">
        <v>45504</v>
      </c>
      <c r="D275" t="s">
        <v>360</v>
      </c>
      <c r="E275">
        <v>0</v>
      </c>
      <c r="F275">
        <v>0</v>
      </c>
      <c r="G275">
        <v>4</v>
      </c>
      <c r="H275">
        <v>1</v>
      </c>
      <c r="I275">
        <v>0</v>
      </c>
      <c r="J275">
        <v>0</v>
      </c>
      <c r="K275">
        <v>3</v>
      </c>
    </row>
    <row r="276" spans="2:11">
      <c r="B276" t="s">
        <v>363</v>
      </c>
      <c r="C276" s="837">
        <v>45504</v>
      </c>
      <c r="D276" t="s">
        <v>172</v>
      </c>
      <c r="E276">
        <v>0</v>
      </c>
      <c r="F276">
        <v>0</v>
      </c>
      <c r="G276">
        <v>0</v>
      </c>
      <c r="H276">
        <v>0</v>
      </c>
      <c r="I276">
        <v>0</v>
      </c>
      <c r="J276">
        <v>0</v>
      </c>
      <c r="K276">
        <v>0</v>
      </c>
    </row>
    <row r="277" spans="2:11">
      <c r="B277" t="s">
        <v>362</v>
      </c>
      <c r="C277" s="837">
        <v>45535</v>
      </c>
      <c r="D277" t="s">
        <v>357</v>
      </c>
      <c r="E277">
        <v>0</v>
      </c>
      <c r="F277">
        <v>5</v>
      </c>
      <c r="G277">
        <v>3</v>
      </c>
      <c r="H277">
        <v>0</v>
      </c>
      <c r="I277">
        <v>0</v>
      </c>
      <c r="J277">
        <v>0</v>
      </c>
      <c r="K277">
        <v>3</v>
      </c>
    </row>
    <row r="278" spans="2:11">
      <c r="B278" t="s">
        <v>363</v>
      </c>
      <c r="C278" s="837">
        <v>45535</v>
      </c>
      <c r="D278" t="s">
        <v>357</v>
      </c>
      <c r="E278">
        <v>58</v>
      </c>
      <c r="F278">
        <v>28</v>
      </c>
      <c r="G278">
        <v>66</v>
      </c>
      <c r="H278">
        <v>13</v>
      </c>
      <c r="I278">
        <v>16</v>
      </c>
      <c r="J278">
        <v>2</v>
      </c>
      <c r="K278">
        <v>35</v>
      </c>
    </row>
    <row r="279" spans="2:11">
      <c r="B279" t="s">
        <v>362</v>
      </c>
      <c r="C279" s="837">
        <v>45535</v>
      </c>
      <c r="D279" t="s">
        <v>358</v>
      </c>
      <c r="E279">
        <v>0</v>
      </c>
      <c r="F279">
        <v>0</v>
      </c>
      <c r="G279">
        <v>1</v>
      </c>
      <c r="H279">
        <v>0</v>
      </c>
      <c r="I279">
        <v>0</v>
      </c>
      <c r="J279">
        <v>0</v>
      </c>
      <c r="K279">
        <v>1</v>
      </c>
    </row>
    <row r="280" spans="2:11">
      <c r="B280" t="s">
        <v>363</v>
      </c>
      <c r="C280" s="837">
        <v>45535</v>
      </c>
      <c r="D280" t="s">
        <v>358</v>
      </c>
      <c r="E280">
        <v>121</v>
      </c>
      <c r="F280">
        <v>46</v>
      </c>
      <c r="G280">
        <v>75</v>
      </c>
      <c r="H280">
        <v>2</v>
      </c>
      <c r="I280">
        <v>1</v>
      </c>
      <c r="J280">
        <v>4</v>
      </c>
      <c r="K280">
        <v>68</v>
      </c>
    </row>
    <row r="281" spans="2:11">
      <c r="B281" t="s">
        <v>362</v>
      </c>
      <c r="C281" s="837">
        <v>45535</v>
      </c>
      <c r="D281" t="s">
        <v>359</v>
      </c>
      <c r="E281">
        <v>0</v>
      </c>
      <c r="F281">
        <v>0</v>
      </c>
      <c r="G281">
        <v>0</v>
      </c>
      <c r="H281">
        <v>0</v>
      </c>
      <c r="I281">
        <v>0</v>
      </c>
      <c r="J281">
        <v>0</v>
      </c>
      <c r="K281">
        <v>0</v>
      </c>
    </row>
    <row r="282" spans="2:11">
      <c r="B282" t="s">
        <v>363</v>
      </c>
      <c r="C282" s="837">
        <v>45535</v>
      </c>
      <c r="D282" t="s">
        <v>359</v>
      </c>
      <c r="E282">
        <v>0</v>
      </c>
      <c r="F282">
        <v>0</v>
      </c>
      <c r="G282">
        <v>2</v>
      </c>
      <c r="H282">
        <v>0</v>
      </c>
      <c r="I282">
        <v>0</v>
      </c>
      <c r="J282">
        <v>0</v>
      </c>
      <c r="K282">
        <v>2</v>
      </c>
    </row>
    <row r="283" spans="2:11">
      <c r="B283" t="s">
        <v>362</v>
      </c>
      <c r="C283" s="837">
        <v>45535</v>
      </c>
      <c r="D283" t="s">
        <v>360</v>
      </c>
      <c r="E283">
        <v>0</v>
      </c>
      <c r="F283">
        <v>0</v>
      </c>
      <c r="G283">
        <v>1</v>
      </c>
      <c r="H283">
        <v>0</v>
      </c>
      <c r="I283">
        <v>0</v>
      </c>
      <c r="J283">
        <v>0</v>
      </c>
      <c r="K283">
        <v>1</v>
      </c>
    </row>
    <row r="284" spans="2:11">
      <c r="B284" t="s">
        <v>363</v>
      </c>
      <c r="C284" s="837">
        <v>45535</v>
      </c>
      <c r="D284" t="s">
        <v>360</v>
      </c>
      <c r="E284">
        <v>1</v>
      </c>
      <c r="F284">
        <v>0</v>
      </c>
      <c r="G284">
        <v>2</v>
      </c>
      <c r="H284">
        <v>2</v>
      </c>
      <c r="I284">
        <v>0</v>
      </c>
      <c r="J284">
        <v>0</v>
      </c>
      <c r="K284">
        <v>0</v>
      </c>
    </row>
    <row r="285" spans="2:11">
      <c r="B285" t="s">
        <v>363</v>
      </c>
      <c r="C285" s="837">
        <v>45535</v>
      </c>
      <c r="D285" t="s">
        <v>172</v>
      </c>
      <c r="E285">
        <v>0</v>
      </c>
      <c r="F285">
        <v>0</v>
      </c>
      <c r="G285">
        <v>0</v>
      </c>
      <c r="H285">
        <v>0</v>
      </c>
      <c r="I285">
        <v>0</v>
      </c>
      <c r="J285">
        <v>0</v>
      </c>
      <c r="K285">
        <v>0</v>
      </c>
    </row>
    <row r="286" spans="2:11">
      <c r="B286" t="s">
        <v>362</v>
      </c>
      <c r="C286" s="837">
        <v>45565</v>
      </c>
      <c r="D286" t="s">
        <v>357</v>
      </c>
      <c r="E286">
        <v>4</v>
      </c>
      <c r="F286">
        <v>6</v>
      </c>
      <c r="G286">
        <v>2</v>
      </c>
      <c r="H286">
        <v>0</v>
      </c>
      <c r="I286">
        <v>0</v>
      </c>
      <c r="J286">
        <v>1</v>
      </c>
      <c r="K286">
        <v>1</v>
      </c>
    </row>
    <row r="287" spans="2:11">
      <c r="B287" t="s">
        <v>363</v>
      </c>
      <c r="C287" s="837">
        <v>45565</v>
      </c>
      <c r="D287" t="s">
        <v>357</v>
      </c>
      <c r="E287">
        <v>73</v>
      </c>
      <c r="F287">
        <v>25</v>
      </c>
      <c r="G287">
        <v>48</v>
      </c>
      <c r="H287">
        <v>9</v>
      </c>
      <c r="I287">
        <v>14</v>
      </c>
      <c r="J287">
        <v>3</v>
      </c>
      <c r="K287">
        <v>22</v>
      </c>
    </row>
    <row r="288" spans="2:11">
      <c r="B288" t="s">
        <v>362</v>
      </c>
      <c r="C288" s="837">
        <v>45565</v>
      </c>
      <c r="D288" t="s">
        <v>358</v>
      </c>
      <c r="E288">
        <v>1</v>
      </c>
      <c r="F288">
        <v>1</v>
      </c>
      <c r="G288">
        <v>0</v>
      </c>
      <c r="H288">
        <v>0</v>
      </c>
      <c r="I288">
        <v>0</v>
      </c>
      <c r="J288">
        <v>0</v>
      </c>
      <c r="K288">
        <v>0</v>
      </c>
    </row>
    <row r="289" spans="2:11">
      <c r="B289" t="s">
        <v>363</v>
      </c>
      <c r="C289" s="837">
        <v>45565</v>
      </c>
      <c r="D289" t="s">
        <v>358</v>
      </c>
      <c r="E289">
        <v>145</v>
      </c>
      <c r="F289">
        <v>52</v>
      </c>
      <c r="G289">
        <v>15</v>
      </c>
      <c r="H289">
        <v>1</v>
      </c>
      <c r="I289">
        <v>0</v>
      </c>
      <c r="J289">
        <v>2</v>
      </c>
      <c r="K289">
        <v>12</v>
      </c>
    </row>
    <row r="290" spans="2:11">
      <c r="B290" t="s">
        <v>362</v>
      </c>
      <c r="C290" s="837">
        <v>45565</v>
      </c>
      <c r="D290" t="s">
        <v>359</v>
      </c>
      <c r="E290">
        <v>0</v>
      </c>
      <c r="F290">
        <v>0</v>
      </c>
      <c r="G290">
        <v>0</v>
      </c>
      <c r="H290">
        <v>0</v>
      </c>
      <c r="I290">
        <v>0</v>
      </c>
      <c r="J290">
        <v>0</v>
      </c>
      <c r="K290">
        <v>0</v>
      </c>
    </row>
    <row r="291" spans="2:11">
      <c r="B291" t="s">
        <v>363</v>
      </c>
      <c r="C291" s="837">
        <v>45565</v>
      </c>
      <c r="D291" t="s">
        <v>359</v>
      </c>
      <c r="E291">
        <v>2</v>
      </c>
      <c r="F291">
        <v>0</v>
      </c>
      <c r="G291">
        <v>3</v>
      </c>
      <c r="H291">
        <v>0</v>
      </c>
      <c r="I291">
        <v>0</v>
      </c>
      <c r="J291">
        <v>0</v>
      </c>
      <c r="K291">
        <v>3</v>
      </c>
    </row>
    <row r="292" spans="2:11">
      <c r="B292" t="s">
        <v>362</v>
      </c>
      <c r="C292" s="837">
        <v>45565</v>
      </c>
      <c r="D292" t="s">
        <v>360</v>
      </c>
      <c r="E292">
        <v>1</v>
      </c>
      <c r="F292">
        <v>1</v>
      </c>
      <c r="G292">
        <v>2</v>
      </c>
      <c r="H292">
        <v>0</v>
      </c>
      <c r="I292">
        <v>0</v>
      </c>
      <c r="J292">
        <v>0</v>
      </c>
      <c r="K292">
        <v>2</v>
      </c>
    </row>
    <row r="293" spans="2:11">
      <c r="B293" t="s">
        <v>363</v>
      </c>
      <c r="C293" s="837">
        <v>45565</v>
      </c>
      <c r="D293" t="s">
        <v>360</v>
      </c>
      <c r="E293">
        <v>0</v>
      </c>
      <c r="F293">
        <v>0</v>
      </c>
      <c r="G293">
        <v>1</v>
      </c>
      <c r="H293">
        <v>0</v>
      </c>
      <c r="I293">
        <v>0</v>
      </c>
      <c r="J293">
        <v>0</v>
      </c>
      <c r="K293">
        <v>1</v>
      </c>
    </row>
    <row r="294" spans="2:11">
      <c r="B294" t="s">
        <v>363</v>
      </c>
      <c r="C294" s="837">
        <v>45565</v>
      </c>
      <c r="D294" t="s">
        <v>172</v>
      </c>
      <c r="E294">
        <v>0</v>
      </c>
      <c r="F294">
        <v>0</v>
      </c>
      <c r="G294">
        <v>0</v>
      </c>
      <c r="H294">
        <v>0</v>
      </c>
      <c r="I294">
        <v>0</v>
      </c>
      <c r="J294">
        <v>0</v>
      </c>
      <c r="K294">
        <v>0</v>
      </c>
    </row>
    <row r="295" spans="2:11">
      <c r="B295" t="s">
        <v>363</v>
      </c>
      <c r="C295" s="837">
        <v>45596</v>
      </c>
      <c r="D295" t="s">
        <v>357</v>
      </c>
      <c r="E295">
        <v>88</v>
      </c>
      <c r="F295">
        <v>26</v>
      </c>
      <c r="G295">
        <v>84</v>
      </c>
      <c r="H295">
        <v>12</v>
      </c>
      <c r="I295">
        <v>9</v>
      </c>
      <c r="J295">
        <v>8</v>
      </c>
      <c r="K295">
        <v>55</v>
      </c>
    </row>
    <row r="296" spans="2:11">
      <c r="B296" t="s">
        <v>362</v>
      </c>
      <c r="C296" s="837">
        <v>45596</v>
      </c>
      <c r="D296" t="s">
        <v>357</v>
      </c>
      <c r="E296">
        <v>2</v>
      </c>
      <c r="F296">
        <v>2</v>
      </c>
      <c r="G296">
        <v>13</v>
      </c>
      <c r="H296">
        <v>0</v>
      </c>
      <c r="I296">
        <v>0</v>
      </c>
      <c r="J296">
        <v>0</v>
      </c>
      <c r="K296">
        <v>13</v>
      </c>
    </row>
    <row r="297" spans="2:11">
      <c r="B297" t="s">
        <v>363</v>
      </c>
      <c r="C297" s="837">
        <v>45596</v>
      </c>
      <c r="D297" t="s">
        <v>358</v>
      </c>
      <c r="E297">
        <v>124</v>
      </c>
      <c r="F297">
        <v>31</v>
      </c>
      <c r="G297">
        <v>51</v>
      </c>
      <c r="H297">
        <v>1</v>
      </c>
      <c r="I297">
        <v>1</v>
      </c>
      <c r="J297">
        <v>4</v>
      </c>
      <c r="K297">
        <v>45</v>
      </c>
    </row>
    <row r="298" spans="2:11">
      <c r="B298" t="s">
        <v>362</v>
      </c>
      <c r="C298" s="837">
        <v>45596</v>
      </c>
      <c r="D298" t="s">
        <v>358</v>
      </c>
      <c r="E298">
        <v>0</v>
      </c>
      <c r="F298">
        <v>1</v>
      </c>
      <c r="G298">
        <v>2</v>
      </c>
      <c r="H298">
        <v>0</v>
      </c>
      <c r="I298">
        <v>0</v>
      </c>
      <c r="J298">
        <v>0</v>
      </c>
      <c r="K298">
        <v>2</v>
      </c>
    </row>
    <row r="299" spans="2:11">
      <c r="B299" t="s">
        <v>363</v>
      </c>
      <c r="C299" s="837">
        <v>45596</v>
      </c>
      <c r="D299" t="s">
        <v>359</v>
      </c>
      <c r="E299">
        <v>2</v>
      </c>
      <c r="F299">
        <v>1</v>
      </c>
      <c r="G299">
        <v>3</v>
      </c>
      <c r="H299">
        <v>1</v>
      </c>
      <c r="I299">
        <v>0</v>
      </c>
      <c r="J299">
        <v>0</v>
      </c>
      <c r="K299">
        <v>2</v>
      </c>
    </row>
    <row r="300" spans="2:11">
      <c r="B300" t="s">
        <v>363</v>
      </c>
      <c r="C300" s="837">
        <v>45596</v>
      </c>
      <c r="D300" t="s">
        <v>0</v>
      </c>
      <c r="E300">
        <v>0</v>
      </c>
      <c r="F300">
        <v>0</v>
      </c>
      <c r="G300">
        <v>0</v>
      </c>
      <c r="H300">
        <v>0</v>
      </c>
      <c r="I300">
        <v>0</v>
      </c>
      <c r="J300">
        <v>0</v>
      </c>
      <c r="K300">
        <v>0</v>
      </c>
    </row>
    <row r="301" spans="2:11">
      <c r="B301" t="s">
        <v>363</v>
      </c>
      <c r="C301" s="837">
        <v>45596</v>
      </c>
      <c r="D301" t="s">
        <v>364</v>
      </c>
      <c r="E301">
        <v>0</v>
      </c>
      <c r="F301">
        <v>1</v>
      </c>
      <c r="G301">
        <v>0</v>
      </c>
      <c r="H301">
        <v>0</v>
      </c>
      <c r="I301">
        <v>0</v>
      </c>
      <c r="J301">
        <v>0</v>
      </c>
      <c r="K301">
        <v>0</v>
      </c>
    </row>
    <row r="302" spans="2:11">
      <c r="B302" t="s">
        <v>362</v>
      </c>
      <c r="C302" s="837">
        <v>45596</v>
      </c>
      <c r="D302" t="s">
        <v>0</v>
      </c>
      <c r="E302">
        <v>0</v>
      </c>
      <c r="F302">
        <v>0</v>
      </c>
      <c r="G302">
        <v>6</v>
      </c>
      <c r="H302">
        <v>0</v>
      </c>
      <c r="I302">
        <v>0</v>
      </c>
      <c r="J302">
        <v>0</v>
      </c>
      <c r="K302">
        <v>6</v>
      </c>
    </row>
    <row r="303" spans="2:11">
      <c r="B303" t="s">
        <v>362</v>
      </c>
      <c r="C303" s="837">
        <v>45596</v>
      </c>
      <c r="D303" t="s">
        <v>364</v>
      </c>
      <c r="E303">
        <v>0</v>
      </c>
      <c r="F303">
        <v>0</v>
      </c>
      <c r="G303">
        <v>1</v>
      </c>
      <c r="H303">
        <v>0</v>
      </c>
      <c r="I303">
        <v>0</v>
      </c>
      <c r="J303">
        <v>0</v>
      </c>
      <c r="K303">
        <v>1</v>
      </c>
    </row>
    <row r="304" spans="2:11">
      <c r="B304" t="s">
        <v>363</v>
      </c>
      <c r="C304" s="837">
        <v>45596</v>
      </c>
      <c r="D304" t="s">
        <v>172</v>
      </c>
      <c r="E304">
        <v>0</v>
      </c>
      <c r="F304">
        <v>0</v>
      </c>
      <c r="G304">
        <v>0</v>
      </c>
      <c r="H304">
        <v>0</v>
      </c>
      <c r="I304">
        <v>0</v>
      </c>
      <c r="J304">
        <v>0</v>
      </c>
      <c r="K304">
        <v>0</v>
      </c>
    </row>
    <row r="305" spans="2:11">
      <c r="B305" t="s">
        <v>363</v>
      </c>
      <c r="C305" s="837">
        <v>45626</v>
      </c>
      <c r="D305" t="s">
        <v>357</v>
      </c>
      <c r="E305">
        <v>76</v>
      </c>
      <c r="F305">
        <v>28</v>
      </c>
      <c r="G305">
        <v>71</v>
      </c>
      <c r="H305">
        <v>16</v>
      </c>
      <c r="I305">
        <v>13</v>
      </c>
      <c r="J305">
        <v>13</v>
      </c>
      <c r="K305">
        <v>29</v>
      </c>
    </row>
    <row r="306" spans="2:11">
      <c r="B306" t="s">
        <v>362</v>
      </c>
      <c r="C306" s="837">
        <v>45626</v>
      </c>
      <c r="D306" t="s">
        <v>357</v>
      </c>
      <c r="E306">
        <v>2</v>
      </c>
      <c r="F306">
        <v>5</v>
      </c>
      <c r="G306">
        <v>15</v>
      </c>
      <c r="H306">
        <v>1</v>
      </c>
      <c r="I306">
        <v>0</v>
      </c>
      <c r="J306">
        <v>0</v>
      </c>
      <c r="K306">
        <v>14</v>
      </c>
    </row>
    <row r="307" spans="2:11">
      <c r="B307" t="s">
        <v>363</v>
      </c>
      <c r="C307" s="837">
        <v>45626</v>
      </c>
      <c r="D307" t="s">
        <v>358</v>
      </c>
      <c r="E307">
        <v>136</v>
      </c>
      <c r="F307">
        <v>65</v>
      </c>
      <c r="G307">
        <v>26</v>
      </c>
      <c r="H307">
        <v>1</v>
      </c>
      <c r="I307">
        <v>3</v>
      </c>
      <c r="J307">
        <v>4</v>
      </c>
      <c r="K307">
        <v>18</v>
      </c>
    </row>
    <row r="308" spans="2:11">
      <c r="B308" t="s">
        <v>362</v>
      </c>
      <c r="C308" s="837">
        <v>45626</v>
      </c>
      <c r="D308" t="s">
        <v>358</v>
      </c>
      <c r="E308">
        <v>0</v>
      </c>
      <c r="F308">
        <v>0</v>
      </c>
      <c r="G308">
        <v>2</v>
      </c>
      <c r="H308">
        <v>0</v>
      </c>
      <c r="I308">
        <v>0</v>
      </c>
      <c r="J308">
        <v>0</v>
      </c>
      <c r="K308">
        <v>2</v>
      </c>
    </row>
    <row r="309" spans="2:11">
      <c r="B309" t="s">
        <v>363</v>
      </c>
      <c r="C309" s="837">
        <v>45626</v>
      </c>
      <c r="D309" t="s">
        <v>359</v>
      </c>
      <c r="E309">
        <v>4</v>
      </c>
      <c r="F309">
        <v>0</v>
      </c>
      <c r="G309">
        <v>2</v>
      </c>
      <c r="H309">
        <v>1</v>
      </c>
      <c r="I309">
        <v>0</v>
      </c>
      <c r="J309">
        <v>0</v>
      </c>
      <c r="K309">
        <v>1</v>
      </c>
    </row>
    <row r="310" spans="2:11">
      <c r="B310" t="s">
        <v>363</v>
      </c>
      <c r="C310" s="837">
        <v>45626</v>
      </c>
      <c r="D310" t="s">
        <v>0</v>
      </c>
      <c r="E310">
        <v>1</v>
      </c>
      <c r="F310">
        <v>2</v>
      </c>
      <c r="G310">
        <v>2</v>
      </c>
      <c r="H310">
        <v>0</v>
      </c>
      <c r="I310">
        <v>0</v>
      </c>
      <c r="J310">
        <v>0</v>
      </c>
      <c r="K310">
        <v>2</v>
      </c>
    </row>
    <row r="311" spans="2:11">
      <c r="B311" t="s">
        <v>363</v>
      </c>
      <c r="C311" s="837">
        <v>45626</v>
      </c>
      <c r="D311" t="s">
        <v>364</v>
      </c>
      <c r="E311">
        <v>0</v>
      </c>
      <c r="F311">
        <v>0</v>
      </c>
      <c r="G311">
        <v>1</v>
      </c>
      <c r="H311">
        <v>0</v>
      </c>
      <c r="I311">
        <v>0</v>
      </c>
      <c r="J311">
        <v>0</v>
      </c>
      <c r="K311">
        <v>1</v>
      </c>
    </row>
    <row r="312" spans="2:11">
      <c r="B312" t="s">
        <v>362</v>
      </c>
      <c r="C312" s="837">
        <v>45626</v>
      </c>
      <c r="D312" t="s">
        <v>0</v>
      </c>
      <c r="E312">
        <v>0</v>
      </c>
      <c r="F312">
        <v>0</v>
      </c>
      <c r="G312">
        <v>3</v>
      </c>
      <c r="H312">
        <v>0</v>
      </c>
      <c r="I312">
        <v>0</v>
      </c>
      <c r="J312">
        <v>0</v>
      </c>
      <c r="K312">
        <v>3</v>
      </c>
    </row>
    <row r="313" spans="2:11">
      <c r="B313" t="s">
        <v>362</v>
      </c>
      <c r="C313" s="837">
        <v>45626</v>
      </c>
      <c r="D313" t="s">
        <v>364</v>
      </c>
      <c r="E313">
        <v>0</v>
      </c>
      <c r="F313">
        <v>0</v>
      </c>
      <c r="G313">
        <v>0</v>
      </c>
      <c r="H313">
        <v>0</v>
      </c>
      <c r="I313">
        <v>0</v>
      </c>
      <c r="J313">
        <v>0</v>
      </c>
      <c r="K313">
        <v>0</v>
      </c>
    </row>
    <row r="314" spans="2:11">
      <c r="B314" t="s">
        <v>363</v>
      </c>
      <c r="C314" s="837">
        <v>45626</v>
      </c>
      <c r="D314" t="s">
        <v>172</v>
      </c>
      <c r="E314">
        <v>0</v>
      </c>
      <c r="F314">
        <v>0</v>
      </c>
      <c r="G314">
        <v>0</v>
      </c>
      <c r="H314">
        <v>0</v>
      </c>
      <c r="I314">
        <v>0</v>
      </c>
      <c r="J314">
        <v>0</v>
      </c>
      <c r="K314">
        <v>0</v>
      </c>
    </row>
    <row r="315" spans="2:11">
      <c r="B315" t="s">
        <v>363</v>
      </c>
      <c r="C315" s="837">
        <v>45657</v>
      </c>
      <c r="D315" t="s">
        <v>357</v>
      </c>
      <c r="E315">
        <v>117</v>
      </c>
      <c r="F315">
        <v>36</v>
      </c>
      <c r="G315">
        <v>75</v>
      </c>
      <c r="H315">
        <v>21</v>
      </c>
      <c r="I315">
        <v>14</v>
      </c>
      <c r="J315">
        <v>9</v>
      </c>
      <c r="K315">
        <v>31</v>
      </c>
    </row>
    <row r="316" spans="2:11">
      <c r="B316" t="s">
        <v>362</v>
      </c>
      <c r="C316" s="837">
        <v>45657</v>
      </c>
      <c r="D316" t="s">
        <v>357</v>
      </c>
      <c r="E316">
        <v>1</v>
      </c>
      <c r="F316">
        <v>1</v>
      </c>
      <c r="G316">
        <v>7</v>
      </c>
      <c r="H316">
        <v>0</v>
      </c>
      <c r="I316">
        <v>0</v>
      </c>
      <c r="J316">
        <v>0</v>
      </c>
      <c r="K316">
        <v>7</v>
      </c>
    </row>
    <row r="317" spans="2:11">
      <c r="B317" t="s">
        <v>363</v>
      </c>
      <c r="C317" s="837">
        <v>45657</v>
      </c>
      <c r="D317" t="s">
        <v>358</v>
      </c>
      <c r="E317">
        <v>187</v>
      </c>
      <c r="F317">
        <v>92</v>
      </c>
      <c r="G317">
        <v>22</v>
      </c>
      <c r="H317">
        <v>0</v>
      </c>
      <c r="I317">
        <v>2</v>
      </c>
      <c r="J317">
        <v>5</v>
      </c>
      <c r="K317">
        <v>15</v>
      </c>
    </row>
    <row r="318" spans="2:11">
      <c r="B318" t="s">
        <v>362</v>
      </c>
      <c r="C318" s="837">
        <v>45657</v>
      </c>
      <c r="D318" t="s">
        <v>358</v>
      </c>
      <c r="E318">
        <v>0</v>
      </c>
      <c r="F318">
        <v>0</v>
      </c>
      <c r="G318">
        <v>2</v>
      </c>
      <c r="H318">
        <v>0</v>
      </c>
      <c r="I318">
        <v>0</v>
      </c>
      <c r="J318">
        <v>0</v>
      </c>
      <c r="K318">
        <v>2</v>
      </c>
    </row>
    <row r="319" spans="2:11">
      <c r="B319" t="s">
        <v>363</v>
      </c>
      <c r="C319" s="837">
        <v>45657</v>
      </c>
      <c r="D319" t="s">
        <v>359</v>
      </c>
      <c r="E319">
        <v>1</v>
      </c>
      <c r="F319">
        <v>2</v>
      </c>
      <c r="G319">
        <v>0</v>
      </c>
      <c r="H319">
        <v>0</v>
      </c>
      <c r="I319">
        <v>0</v>
      </c>
      <c r="J319">
        <v>0</v>
      </c>
      <c r="K319">
        <v>0</v>
      </c>
    </row>
    <row r="320" spans="2:11">
      <c r="B320" t="s">
        <v>363</v>
      </c>
      <c r="C320" s="837">
        <v>45657</v>
      </c>
      <c r="D320" t="s">
        <v>0</v>
      </c>
      <c r="E320">
        <v>0</v>
      </c>
      <c r="F320">
        <v>0</v>
      </c>
      <c r="G320">
        <v>1</v>
      </c>
      <c r="H320">
        <v>0</v>
      </c>
      <c r="I320">
        <v>0</v>
      </c>
      <c r="J320">
        <v>0</v>
      </c>
      <c r="K320">
        <v>1</v>
      </c>
    </row>
    <row r="321" spans="2:11">
      <c r="B321" t="s">
        <v>363</v>
      </c>
      <c r="C321" s="837">
        <v>45657</v>
      </c>
      <c r="D321" t="s">
        <v>364</v>
      </c>
      <c r="E321">
        <v>0</v>
      </c>
      <c r="F321">
        <v>0</v>
      </c>
      <c r="G321">
        <v>3</v>
      </c>
      <c r="H321">
        <v>0</v>
      </c>
      <c r="I321">
        <v>0</v>
      </c>
      <c r="J321">
        <v>0</v>
      </c>
      <c r="K321">
        <v>3</v>
      </c>
    </row>
    <row r="322" spans="2:11">
      <c r="B322" t="s">
        <v>362</v>
      </c>
      <c r="C322" s="837">
        <v>45657</v>
      </c>
      <c r="D322" t="s">
        <v>0</v>
      </c>
      <c r="E322">
        <v>0</v>
      </c>
      <c r="F322">
        <v>0</v>
      </c>
      <c r="G322">
        <v>4</v>
      </c>
      <c r="H322">
        <v>0</v>
      </c>
      <c r="I322">
        <v>0</v>
      </c>
      <c r="J322">
        <v>0</v>
      </c>
      <c r="K322">
        <v>4</v>
      </c>
    </row>
    <row r="323" spans="2:11">
      <c r="B323" t="s">
        <v>362</v>
      </c>
      <c r="C323" s="837">
        <v>45657</v>
      </c>
      <c r="D323" t="s">
        <v>364</v>
      </c>
      <c r="E323">
        <v>0</v>
      </c>
      <c r="F323">
        <v>0</v>
      </c>
      <c r="G323">
        <v>0</v>
      </c>
      <c r="H323">
        <v>0</v>
      </c>
      <c r="I323">
        <v>0</v>
      </c>
      <c r="J323">
        <v>0</v>
      </c>
      <c r="K323">
        <v>0</v>
      </c>
    </row>
    <row r="324" spans="2:11">
      <c r="B324" t="s">
        <v>363</v>
      </c>
      <c r="C324" s="837">
        <v>45657</v>
      </c>
      <c r="D324" t="s">
        <v>172</v>
      </c>
      <c r="E324">
        <v>0</v>
      </c>
      <c r="F324">
        <v>0</v>
      </c>
      <c r="G324">
        <v>0</v>
      </c>
      <c r="H324">
        <v>0</v>
      </c>
      <c r="I324">
        <v>0</v>
      </c>
      <c r="J324">
        <v>0</v>
      </c>
      <c r="K324">
        <v>0</v>
      </c>
    </row>
    <row r="325" spans="2:11">
      <c r="B325" t="s">
        <v>363</v>
      </c>
      <c r="C325" s="837">
        <v>45688</v>
      </c>
      <c r="D325" t="s">
        <v>357</v>
      </c>
      <c r="E325">
        <v>111</v>
      </c>
      <c r="F325">
        <v>31</v>
      </c>
      <c r="G325">
        <v>66</v>
      </c>
      <c r="H325">
        <v>14</v>
      </c>
      <c r="I325">
        <v>12</v>
      </c>
      <c r="J325">
        <v>12</v>
      </c>
      <c r="K325">
        <v>28</v>
      </c>
    </row>
    <row r="326" spans="2:11">
      <c r="B326" t="s">
        <v>362</v>
      </c>
      <c r="C326" s="837">
        <v>45688</v>
      </c>
      <c r="D326" t="s">
        <v>357</v>
      </c>
      <c r="E326">
        <v>8</v>
      </c>
      <c r="F326">
        <v>3</v>
      </c>
      <c r="G326">
        <v>17</v>
      </c>
      <c r="H326">
        <v>0</v>
      </c>
      <c r="I326">
        <v>0</v>
      </c>
      <c r="J326">
        <v>0</v>
      </c>
      <c r="K326">
        <v>17</v>
      </c>
    </row>
    <row r="327" spans="2:11">
      <c r="B327" t="s">
        <v>363</v>
      </c>
      <c r="C327" s="837">
        <v>45688</v>
      </c>
      <c r="D327" t="s">
        <v>358</v>
      </c>
      <c r="E327">
        <v>197</v>
      </c>
      <c r="F327">
        <v>83</v>
      </c>
      <c r="G327">
        <v>42</v>
      </c>
      <c r="H327">
        <v>1</v>
      </c>
      <c r="I327">
        <v>0</v>
      </c>
      <c r="J327">
        <v>9</v>
      </c>
      <c r="K327">
        <v>32</v>
      </c>
    </row>
    <row r="328" spans="2:11">
      <c r="B328" t="s">
        <v>362</v>
      </c>
      <c r="C328" s="837">
        <v>45688</v>
      </c>
      <c r="D328" t="s">
        <v>358</v>
      </c>
      <c r="E328">
        <v>2</v>
      </c>
      <c r="F328">
        <v>1</v>
      </c>
      <c r="G328">
        <v>2</v>
      </c>
      <c r="H328">
        <v>0</v>
      </c>
      <c r="I328">
        <v>0</v>
      </c>
      <c r="J328">
        <v>0</v>
      </c>
      <c r="K328">
        <v>2</v>
      </c>
    </row>
    <row r="329" spans="2:11">
      <c r="B329" t="s">
        <v>363</v>
      </c>
      <c r="C329" s="837">
        <v>45688</v>
      </c>
      <c r="D329" t="s">
        <v>359</v>
      </c>
      <c r="E329">
        <v>1</v>
      </c>
      <c r="F329">
        <v>1</v>
      </c>
      <c r="G329">
        <v>1</v>
      </c>
      <c r="H329">
        <v>0</v>
      </c>
      <c r="I329">
        <v>0</v>
      </c>
      <c r="J329">
        <v>0</v>
      </c>
      <c r="K329">
        <v>1</v>
      </c>
    </row>
    <row r="330" spans="2:11">
      <c r="B330" t="s">
        <v>363</v>
      </c>
      <c r="C330" s="837">
        <v>45688</v>
      </c>
      <c r="D330" t="s">
        <v>0</v>
      </c>
      <c r="E330">
        <v>0</v>
      </c>
      <c r="F330">
        <v>0</v>
      </c>
      <c r="G330">
        <v>0</v>
      </c>
      <c r="H330">
        <v>0</v>
      </c>
      <c r="I330">
        <v>0</v>
      </c>
      <c r="J330">
        <v>0</v>
      </c>
      <c r="K330">
        <v>0</v>
      </c>
    </row>
    <row r="331" spans="2:11">
      <c r="B331" t="s">
        <v>363</v>
      </c>
      <c r="C331" s="837">
        <v>45688</v>
      </c>
      <c r="D331" t="s">
        <v>364</v>
      </c>
      <c r="E331">
        <v>0</v>
      </c>
      <c r="F331">
        <v>0</v>
      </c>
      <c r="G331">
        <v>2</v>
      </c>
      <c r="H331">
        <v>0</v>
      </c>
      <c r="I331">
        <v>0</v>
      </c>
      <c r="J331">
        <v>1</v>
      </c>
      <c r="K331">
        <v>1</v>
      </c>
    </row>
    <row r="332" spans="2:11">
      <c r="B332" t="s">
        <v>362</v>
      </c>
      <c r="C332" s="837">
        <v>45688</v>
      </c>
      <c r="D332" t="s">
        <v>0</v>
      </c>
      <c r="E332">
        <v>1</v>
      </c>
      <c r="F332">
        <v>0</v>
      </c>
      <c r="G332">
        <v>0</v>
      </c>
      <c r="H332">
        <v>0</v>
      </c>
      <c r="I332">
        <v>0</v>
      </c>
      <c r="J332">
        <v>0</v>
      </c>
      <c r="K332">
        <v>0</v>
      </c>
    </row>
    <row r="333" spans="2:11">
      <c r="B333" t="s">
        <v>362</v>
      </c>
      <c r="C333" s="837">
        <v>45688</v>
      </c>
      <c r="D333" t="s">
        <v>364</v>
      </c>
      <c r="E333">
        <v>0</v>
      </c>
      <c r="F333">
        <v>0</v>
      </c>
      <c r="G333">
        <v>1</v>
      </c>
      <c r="H333">
        <v>0</v>
      </c>
      <c r="I333">
        <v>0</v>
      </c>
      <c r="J333">
        <v>0</v>
      </c>
      <c r="K333">
        <v>1</v>
      </c>
    </row>
    <row r="334" spans="2:11">
      <c r="B334" t="s">
        <v>363</v>
      </c>
      <c r="C334" s="837">
        <v>45688</v>
      </c>
      <c r="D334" t="s">
        <v>172</v>
      </c>
      <c r="E334">
        <v>0</v>
      </c>
      <c r="F334">
        <v>0</v>
      </c>
      <c r="G334">
        <v>0</v>
      </c>
      <c r="H334">
        <v>0</v>
      </c>
      <c r="I334">
        <v>0</v>
      </c>
      <c r="J334">
        <v>0</v>
      </c>
      <c r="K334">
        <v>0</v>
      </c>
    </row>
    <row r="335" spans="2:11">
      <c r="B335" t="s">
        <v>363</v>
      </c>
      <c r="C335" s="837">
        <v>45716</v>
      </c>
      <c r="D335" t="s">
        <v>357</v>
      </c>
      <c r="E335">
        <v>91</v>
      </c>
      <c r="F335">
        <v>37</v>
      </c>
      <c r="G335">
        <v>49</v>
      </c>
      <c r="H335">
        <v>8</v>
      </c>
      <c r="I335">
        <v>6</v>
      </c>
      <c r="J335">
        <v>11</v>
      </c>
      <c r="K335">
        <v>24</v>
      </c>
    </row>
    <row r="336" spans="2:11">
      <c r="B336" t="s">
        <v>362</v>
      </c>
      <c r="C336" s="837">
        <v>45716</v>
      </c>
      <c r="D336" t="s">
        <v>357</v>
      </c>
      <c r="E336">
        <v>7</v>
      </c>
      <c r="F336">
        <v>1</v>
      </c>
      <c r="G336">
        <v>11</v>
      </c>
      <c r="H336">
        <v>0</v>
      </c>
      <c r="I336">
        <v>0</v>
      </c>
      <c r="J336">
        <v>0</v>
      </c>
      <c r="K336">
        <v>11</v>
      </c>
    </row>
    <row r="337" spans="2:11">
      <c r="B337" t="s">
        <v>363</v>
      </c>
      <c r="C337" s="837">
        <v>45716</v>
      </c>
      <c r="D337" t="s">
        <v>358</v>
      </c>
      <c r="E337">
        <v>145</v>
      </c>
      <c r="F337">
        <v>108</v>
      </c>
      <c r="G337">
        <v>33</v>
      </c>
      <c r="H337">
        <v>0</v>
      </c>
      <c r="I337">
        <v>4</v>
      </c>
      <c r="J337">
        <v>5</v>
      </c>
      <c r="K337">
        <v>24</v>
      </c>
    </row>
    <row r="338" spans="2:11">
      <c r="B338" t="s">
        <v>362</v>
      </c>
      <c r="C338" s="837">
        <v>45716</v>
      </c>
      <c r="D338" t="s">
        <v>358</v>
      </c>
      <c r="E338">
        <v>0</v>
      </c>
      <c r="F338">
        <v>1</v>
      </c>
      <c r="G338">
        <v>5</v>
      </c>
      <c r="H338">
        <v>0</v>
      </c>
      <c r="I338">
        <v>0</v>
      </c>
      <c r="J338">
        <v>0</v>
      </c>
      <c r="K338">
        <v>5</v>
      </c>
    </row>
    <row r="339" spans="2:11">
      <c r="B339" t="s">
        <v>363</v>
      </c>
      <c r="C339" s="837">
        <v>45716</v>
      </c>
      <c r="D339" t="s">
        <v>359</v>
      </c>
      <c r="E339">
        <v>5</v>
      </c>
      <c r="F339">
        <v>0</v>
      </c>
      <c r="G339">
        <v>1</v>
      </c>
      <c r="H339">
        <v>0</v>
      </c>
      <c r="I339">
        <v>0</v>
      </c>
      <c r="J339">
        <v>0</v>
      </c>
      <c r="K339">
        <v>1</v>
      </c>
    </row>
    <row r="340" spans="2:11">
      <c r="B340" t="s">
        <v>363</v>
      </c>
      <c r="C340" s="837">
        <v>45716</v>
      </c>
      <c r="D340" t="s">
        <v>0</v>
      </c>
      <c r="E340">
        <v>0</v>
      </c>
      <c r="F340">
        <v>1</v>
      </c>
      <c r="G340">
        <v>6</v>
      </c>
      <c r="H340">
        <v>0</v>
      </c>
      <c r="I340">
        <v>1</v>
      </c>
      <c r="J340">
        <v>1</v>
      </c>
      <c r="K340">
        <v>4</v>
      </c>
    </row>
    <row r="341" spans="2:11">
      <c r="B341" t="s">
        <v>363</v>
      </c>
      <c r="C341" s="837">
        <v>45716</v>
      </c>
      <c r="D341" t="s">
        <v>364</v>
      </c>
      <c r="E341">
        <v>0</v>
      </c>
      <c r="F341">
        <v>0</v>
      </c>
      <c r="G341">
        <v>1</v>
      </c>
      <c r="H341">
        <v>0</v>
      </c>
      <c r="I341">
        <v>0</v>
      </c>
      <c r="J341">
        <v>0</v>
      </c>
      <c r="K341">
        <v>1</v>
      </c>
    </row>
    <row r="342" spans="2:11">
      <c r="B342" t="s">
        <v>362</v>
      </c>
      <c r="C342" s="837">
        <v>45716</v>
      </c>
      <c r="D342" t="s">
        <v>0</v>
      </c>
      <c r="E342">
        <v>0</v>
      </c>
      <c r="F342">
        <v>0</v>
      </c>
      <c r="G342">
        <v>2</v>
      </c>
      <c r="H342">
        <v>0</v>
      </c>
      <c r="I342">
        <v>0</v>
      </c>
      <c r="J342">
        <v>0</v>
      </c>
      <c r="K342">
        <v>2</v>
      </c>
    </row>
    <row r="343" spans="2:11">
      <c r="B343" t="s">
        <v>362</v>
      </c>
      <c r="C343" s="837">
        <v>45716</v>
      </c>
      <c r="D343" t="s">
        <v>364</v>
      </c>
      <c r="E343">
        <v>0</v>
      </c>
      <c r="F343">
        <v>0</v>
      </c>
      <c r="G343">
        <v>1</v>
      </c>
      <c r="H343">
        <v>0</v>
      </c>
      <c r="I343">
        <v>0</v>
      </c>
      <c r="J343">
        <v>0</v>
      </c>
      <c r="K343">
        <v>1</v>
      </c>
    </row>
    <row r="344" spans="2:11">
      <c r="B344" t="s">
        <v>363</v>
      </c>
      <c r="C344" s="837">
        <v>45716</v>
      </c>
      <c r="D344" t="s">
        <v>172</v>
      </c>
      <c r="E344">
        <v>0</v>
      </c>
      <c r="F344">
        <v>0</v>
      </c>
      <c r="G344">
        <v>0</v>
      </c>
      <c r="H344">
        <v>0</v>
      </c>
      <c r="I344">
        <v>0</v>
      </c>
      <c r="J344">
        <v>0</v>
      </c>
      <c r="K344">
        <v>0</v>
      </c>
    </row>
    <row r="345" spans="2:11">
      <c r="B345" t="s">
        <v>363</v>
      </c>
      <c r="C345" s="837">
        <v>45747</v>
      </c>
      <c r="D345" t="s">
        <v>357</v>
      </c>
      <c r="E345">
        <v>143</v>
      </c>
      <c r="F345">
        <v>62</v>
      </c>
      <c r="G345">
        <v>144</v>
      </c>
      <c r="H345">
        <v>77</v>
      </c>
      <c r="I345">
        <v>23</v>
      </c>
      <c r="J345">
        <v>12</v>
      </c>
      <c r="K345">
        <v>32</v>
      </c>
    </row>
    <row r="346" spans="2:11">
      <c r="B346" t="s">
        <v>362</v>
      </c>
      <c r="C346" s="837">
        <v>45747</v>
      </c>
      <c r="D346" t="s">
        <v>357</v>
      </c>
      <c r="E346">
        <v>1</v>
      </c>
      <c r="F346">
        <v>6</v>
      </c>
      <c r="G346">
        <v>8</v>
      </c>
      <c r="H346">
        <v>0</v>
      </c>
      <c r="I346">
        <v>0</v>
      </c>
      <c r="J346">
        <v>0</v>
      </c>
      <c r="K346">
        <v>8</v>
      </c>
    </row>
    <row r="347" spans="2:11">
      <c r="B347" t="s">
        <v>363</v>
      </c>
      <c r="C347" s="837">
        <v>45747</v>
      </c>
      <c r="D347" t="s">
        <v>358</v>
      </c>
      <c r="E347">
        <v>193</v>
      </c>
      <c r="F347">
        <v>181</v>
      </c>
      <c r="G347">
        <v>45</v>
      </c>
      <c r="H347">
        <v>2</v>
      </c>
      <c r="I347">
        <v>2</v>
      </c>
      <c r="J347">
        <v>5</v>
      </c>
      <c r="K347">
        <v>36</v>
      </c>
    </row>
    <row r="348" spans="2:11">
      <c r="B348" t="s">
        <v>362</v>
      </c>
      <c r="C348" s="837">
        <v>45747</v>
      </c>
      <c r="D348" t="s">
        <v>358</v>
      </c>
      <c r="E348">
        <v>0</v>
      </c>
      <c r="F348">
        <v>2</v>
      </c>
      <c r="G348">
        <v>2</v>
      </c>
      <c r="H348">
        <v>0</v>
      </c>
      <c r="I348">
        <v>0</v>
      </c>
      <c r="J348">
        <v>0</v>
      </c>
      <c r="K348">
        <v>2</v>
      </c>
    </row>
    <row r="349" spans="2:11">
      <c r="B349" t="s">
        <v>363</v>
      </c>
      <c r="C349" s="837">
        <v>45747</v>
      </c>
      <c r="D349" t="s">
        <v>359</v>
      </c>
      <c r="E349">
        <v>6</v>
      </c>
      <c r="F349">
        <v>1</v>
      </c>
      <c r="G349">
        <v>1</v>
      </c>
      <c r="H349">
        <v>0</v>
      </c>
      <c r="I349">
        <v>0</v>
      </c>
      <c r="J349">
        <v>0</v>
      </c>
      <c r="K349">
        <v>1</v>
      </c>
    </row>
    <row r="350" spans="2:11">
      <c r="B350" t="s">
        <v>363</v>
      </c>
      <c r="C350" s="837">
        <v>45747</v>
      </c>
      <c r="D350" t="s">
        <v>0</v>
      </c>
      <c r="E350">
        <v>0</v>
      </c>
      <c r="F350">
        <v>1</v>
      </c>
      <c r="G350">
        <v>4</v>
      </c>
      <c r="H350">
        <v>0</v>
      </c>
      <c r="I350">
        <v>0</v>
      </c>
      <c r="J350">
        <v>0</v>
      </c>
      <c r="K350">
        <v>4</v>
      </c>
    </row>
    <row r="351" spans="2:11">
      <c r="B351" t="s">
        <v>363</v>
      </c>
      <c r="C351" s="837">
        <v>45747</v>
      </c>
      <c r="D351" t="s">
        <v>364</v>
      </c>
      <c r="E351">
        <v>0</v>
      </c>
      <c r="F351">
        <v>2</v>
      </c>
      <c r="G351">
        <v>30</v>
      </c>
      <c r="H351">
        <v>26</v>
      </c>
      <c r="I351">
        <v>0</v>
      </c>
      <c r="J351">
        <v>0</v>
      </c>
      <c r="K351">
        <v>4</v>
      </c>
    </row>
    <row r="352" spans="2:11">
      <c r="B352" t="s">
        <v>362</v>
      </c>
      <c r="C352" s="837">
        <v>45747</v>
      </c>
      <c r="D352" t="s">
        <v>0</v>
      </c>
      <c r="E352">
        <v>0</v>
      </c>
      <c r="F352">
        <v>3</v>
      </c>
      <c r="G352">
        <v>8</v>
      </c>
      <c r="H352">
        <v>0</v>
      </c>
      <c r="I352">
        <v>0</v>
      </c>
      <c r="J352">
        <v>1</v>
      </c>
      <c r="K352">
        <v>7</v>
      </c>
    </row>
    <row r="353" spans="2:11">
      <c r="B353" t="s">
        <v>362</v>
      </c>
      <c r="C353" s="837">
        <v>45747</v>
      </c>
      <c r="D353" t="s">
        <v>364</v>
      </c>
      <c r="E353">
        <v>1</v>
      </c>
      <c r="F353">
        <v>0</v>
      </c>
      <c r="G353">
        <v>0</v>
      </c>
      <c r="H353">
        <v>0</v>
      </c>
      <c r="I353">
        <v>0</v>
      </c>
      <c r="J353">
        <v>0</v>
      </c>
      <c r="K353">
        <v>0</v>
      </c>
    </row>
    <row r="354" spans="2:11">
      <c r="B354" t="s">
        <v>363</v>
      </c>
      <c r="C354" s="837">
        <v>45747</v>
      </c>
      <c r="D354" t="s">
        <v>172</v>
      </c>
      <c r="E354">
        <v>0</v>
      </c>
      <c r="F354">
        <v>0</v>
      </c>
      <c r="G354">
        <v>0</v>
      </c>
      <c r="H354">
        <v>0</v>
      </c>
      <c r="I354">
        <v>0</v>
      </c>
      <c r="J354">
        <v>0</v>
      </c>
      <c r="K354">
        <v>0</v>
      </c>
    </row>
    <row r="355" spans="2:11">
      <c r="B355" t="s">
        <v>363</v>
      </c>
      <c r="C355" s="837">
        <v>45777</v>
      </c>
      <c r="D355" t="s">
        <v>357</v>
      </c>
      <c r="E355">
        <v>91</v>
      </c>
      <c r="F355">
        <v>49</v>
      </c>
      <c r="G355">
        <v>63</v>
      </c>
      <c r="H355">
        <v>7</v>
      </c>
      <c r="I355">
        <v>10</v>
      </c>
      <c r="J355">
        <v>15</v>
      </c>
      <c r="K355">
        <v>31</v>
      </c>
    </row>
    <row r="356" spans="2:11">
      <c r="B356" t="s">
        <v>362</v>
      </c>
      <c r="C356" s="837">
        <v>45777</v>
      </c>
      <c r="D356" t="s">
        <v>357</v>
      </c>
      <c r="E356">
        <v>9</v>
      </c>
      <c r="F356">
        <v>8</v>
      </c>
      <c r="G356">
        <v>6</v>
      </c>
      <c r="H356">
        <v>0</v>
      </c>
      <c r="I356">
        <v>0</v>
      </c>
      <c r="J356">
        <v>0</v>
      </c>
      <c r="K356">
        <v>6</v>
      </c>
    </row>
    <row r="357" spans="2:11">
      <c r="B357" t="s">
        <v>363</v>
      </c>
      <c r="C357" s="837">
        <v>45777</v>
      </c>
      <c r="D357" t="s">
        <v>358</v>
      </c>
      <c r="E357">
        <v>192</v>
      </c>
      <c r="F357">
        <v>153</v>
      </c>
      <c r="G357">
        <v>36</v>
      </c>
      <c r="H357">
        <v>2</v>
      </c>
      <c r="I357">
        <v>1</v>
      </c>
      <c r="J357">
        <v>3</v>
      </c>
      <c r="K357">
        <v>30</v>
      </c>
    </row>
    <row r="358" spans="2:11">
      <c r="B358" t="s">
        <v>362</v>
      </c>
      <c r="C358" s="837">
        <v>45777</v>
      </c>
      <c r="D358" t="s">
        <v>358</v>
      </c>
      <c r="E358">
        <v>2</v>
      </c>
      <c r="F358">
        <v>2</v>
      </c>
      <c r="G358">
        <v>1</v>
      </c>
      <c r="H358">
        <v>0</v>
      </c>
      <c r="I358">
        <v>0</v>
      </c>
      <c r="J358">
        <v>1</v>
      </c>
      <c r="K358">
        <v>0</v>
      </c>
    </row>
    <row r="359" spans="2:11">
      <c r="B359" t="s">
        <v>363</v>
      </c>
      <c r="C359" s="837">
        <v>45777</v>
      </c>
      <c r="D359" t="s">
        <v>359</v>
      </c>
      <c r="E359">
        <v>1</v>
      </c>
      <c r="F359">
        <v>3</v>
      </c>
      <c r="G359">
        <v>1</v>
      </c>
      <c r="H359">
        <v>1</v>
      </c>
      <c r="I359">
        <v>0</v>
      </c>
      <c r="J359">
        <v>0</v>
      </c>
      <c r="K359">
        <v>0</v>
      </c>
    </row>
    <row r="360" spans="2:11">
      <c r="B360" t="s">
        <v>363</v>
      </c>
      <c r="C360" s="837">
        <v>45777</v>
      </c>
      <c r="D360" t="s">
        <v>0</v>
      </c>
      <c r="E360">
        <v>0</v>
      </c>
      <c r="F360">
        <v>1</v>
      </c>
      <c r="G360">
        <v>1</v>
      </c>
      <c r="H360">
        <v>0</v>
      </c>
      <c r="I360">
        <v>0</v>
      </c>
      <c r="J360">
        <v>0</v>
      </c>
      <c r="K360">
        <v>1</v>
      </c>
    </row>
    <row r="361" spans="2:11">
      <c r="B361" t="s">
        <v>363</v>
      </c>
      <c r="C361" s="837">
        <v>45777</v>
      </c>
      <c r="D361" t="s">
        <v>364</v>
      </c>
      <c r="E361">
        <v>0</v>
      </c>
      <c r="F361">
        <v>2</v>
      </c>
      <c r="G361">
        <v>5</v>
      </c>
      <c r="H361">
        <v>2</v>
      </c>
      <c r="I361">
        <v>0</v>
      </c>
      <c r="J361">
        <v>0</v>
      </c>
      <c r="K361">
        <v>3</v>
      </c>
    </row>
    <row r="362" spans="2:11">
      <c r="B362" t="s">
        <v>362</v>
      </c>
      <c r="C362" s="837">
        <v>45777</v>
      </c>
      <c r="D362" t="s">
        <v>0</v>
      </c>
      <c r="E362">
        <v>1</v>
      </c>
      <c r="F362">
        <v>1</v>
      </c>
      <c r="G362">
        <v>5</v>
      </c>
      <c r="H362">
        <v>0</v>
      </c>
      <c r="I362">
        <v>0</v>
      </c>
      <c r="J362">
        <v>0</v>
      </c>
      <c r="K362">
        <v>5</v>
      </c>
    </row>
    <row r="363" spans="2:11">
      <c r="B363" t="s">
        <v>362</v>
      </c>
      <c r="C363" s="837">
        <v>45777</v>
      </c>
      <c r="D363" t="s">
        <v>364</v>
      </c>
      <c r="E363">
        <v>0</v>
      </c>
      <c r="F363">
        <v>0</v>
      </c>
      <c r="G363">
        <v>0</v>
      </c>
      <c r="H363">
        <v>0</v>
      </c>
      <c r="I363">
        <v>0</v>
      </c>
      <c r="J363">
        <v>0</v>
      </c>
      <c r="K363">
        <v>0</v>
      </c>
    </row>
    <row r="364" spans="2:11">
      <c r="B364" t="s">
        <v>363</v>
      </c>
      <c r="C364" s="837">
        <v>45777</v>
      </c>
      <c r="D364" t="s">
        <v>172</v>
      </c>
      <c r="E364">
        <v>0</v>
      </c>
      <c r="F364">
        <v>0</v>
      </c>
      <c r="G364">
        <v>0</v>
      </c>
      <c r="H364">
        <v>0</v>
      </c>
      <c r="I364">
        <v>0</v>
      </c>
      <c r="J364">
        <v>0</v>
      </c>
      <c r="K364">
        <v>0</v>
      </c>
    </row>
    <row r="365" spans="2:11">
      <c r="B365" t="s">
        <v>363</v>
      </c>
      <c r="C365" s="837">
        <v>45808</v>
      </c>
      <c r="D365" t="s">
        <v>357</v>
      </c>
      <c r="E365">
        <v>69</v>
      </c>
      <c r="F365">
        <v>65</v>
      </c>
      <c r="G365">
        <v>60</v>
      </c>
      <c r="H365">
        <v>5</v>
      </c>
      <c r="I365">
        <v>10</v>
      </c>
      <c r="J365">
        <v>13</v>
      </c>
      <c r="K365">
        <v>32</v>
      </c>
    </row>
    <row r="366" spans="2:11">
      <c r="B366" t="s">
        <v>362</v>
      </c>
      <c r="C366" s="837">
        <v>45808</v>
      </c>
      <c r="D366" t="s">
        <v>357</v>
      </c>
      <c r="E366">
        <v>8</v>
      </c>
      <c r="F366">
        <v>8</v>
      </c>
      <c r="G366">
        <v>2</v>
      </c>
      <c r="H366">
        <v>0</v>
      </c>
      <c r="I366">
        <v>0</v>
      </c>
      <c r="J366">
        <v>0</v>
      </c>
      <c r="K366">
        <v>2</v>
      </c>
    </row>
    <row r="367" spans="2:11">
      <c r="B367" t="s">
        <v>363</v>
      </c>
      <c r="C367" s="837">
        <v>45808</v>
      </c>
      <c r="D367" t="s">
        <v>358</v>
      </c>
      <c r="E367">
        <v>172</v>
      </c>
      <c r="F367">
        <v>110</v>
      </c>
      <c r="G367">
        <v>39</v>
      </c>
      <c r="H367">
        <v>5</v>
      </c>
      <c r="I367">
        <v>1</v>
      </c>
      <c r="J367">
        <v>6</v>
      </c>
      <c r="K367">
        <v>27</v>
      </c>
    </row>
    <row r="368" spans="2:11">
      <c r="B368" t="s">
        <v>362</v>
      </c>
      <c r="C368" s="837">
        <v>45808</v>
      </c>
      <c r="D368" t="s">
        <v>358</v>
      </c>
      <c r="E368">
        <v>3</v>
      </c>
      <c r="F368">
        <v>4</v>
      </c>
      <c r="G368">
        <v>0</v>
      </c>
      <c r="H368">
        <v>0</v>
      </c>
      <c r="I368">
        <v>0</v>
      </c>
      <c r="J368">
        <v>0</v>
      </c>
      <c r="K368">
        <v>0</v>
      </c>
    </row>
    <row r="369" spans="2:11">
      <c r="B369" t="s">
        <v>363</v>
      </c>
      <c r="C369" s="837">
        <v>45808</v>
      </c>
      <c r="D369" t="s">
        <v>359</v>
      </c>
      <c r="E369">
        <v>1</v>
      </c>
      <c r="F369">
        <v>2</v>
      </c>
      <c r="G369">
        <v>5</v>
      </c>
      <c r="H369">
        <v>2</v>
      </c>
      <c r="I369">
        <v>0</v>
      </c>
      <c r="J369">
        <v>0</v>
      </c>
      <c r="K369">
        <v>3</v>
      </c>
    </row>
    <row r="370" spans="2:11">
      <c r="B370" t="s">
        <v>363</v>
      </c>
      <c r="C370" s="837">
        <v>45808</v>
      </c>
      <c r="D370" t="s">
        <v>0</v>
      </c>
      <c r="E370">
        <v>0</v>
      </c>
      <c r="F370">
        <v>0</v>
      </c>
      <c r="G370">
        <v>7</v>
      </c>
      <c r="H370">
        <v>0</v>
      </c>
      <c r="I370">
        <v>0</v>
      </c>
      <c r="J370">
        <v>0</v>
      </c>
      <c r="K370">
        <v>7</v>
      </c>
    </row>
    <row r="371" spans="2:11">
      <c r="B371" t="s">
        <v>363</v>
      </c>
      <c r="C371" s="837">
        <v>45808</v>
      </c>
      <c r="D371" t="s">
        <v>364</v>
      </c>
      <c r="E371">
        <v>0</v>
      </c>
      <c r="F371">
        <v>2</v>
      </c>
      <c r="G371">
        <v>3</v>
      </c>
      <c r="H371">
        <v>0</v>
      </c>
      <c r="I371">
        <v>0</v>
      </c>
      <c r="J371">
        <v>0</v>
      </c>
      <c r="K371">
        <v>3</v>
      </c>
    </row>
    <row r="372" spans="2:11">
      <c r="B372" t="s">
        <v>362</v>
      </c>
      <c r="C372" s="837">
        <v>45808</v>
      </c>
      <c r="D372" t="s">
        <v>0</v>
      </c>
      <c r="E372">
        <v>1</v>
      </c>
      <c r="F372">
        <v>2</v>
      </c>
      <c r="G372">
        <v>3</v>
      </c>
      <c r="H372">
        <v>0</v>
      </c>
      <c r="I372">
        <v>0</v>
      </c>
      <c r="J372">
        <v>0</v>
      </c>
      <c r="K372">
        <v>3</v>
      </c>
    </row>
    <row r="373" spans="2:11">
      <c r="B373" t="s">
        <v>362</v>
      </c>
      <c r="C373" s="837">
        <v>45808</v>
      </c>
      <c r="D373" t="s">
        <v>364</v>
      </c>
      <c r="E373">
        <v>0</v>
      </c>
      <c r="F373">
        <v>0</v>
      </c>
      <c r="G373">
        <v>1</v>
      </c>
      <c r="H373">
        <v>0</v>
      </c>
      <c r="I373">
        <v>0</v>
      </c>
      <c r="J373">
        <v>0</v>
      </c>
      <c r="K373">
        <v>1</v>
      </c>
    </row>
    <row r="374" spans="2:11">
      <c r="B374" t="s">
        <v>363</v>
      </c>
      <c r="C374" s="837">
        <v>45808</v>
      </c>
      <c r="D374" t="s">
        <v>172</v>
      </c>
      <c r="E374">
        <v>0</v>
      </c>
      <c r="F374">
        <v>0</v>
      </c>
      <c r="G374">
        <v>0</v>
      </c>
      <c r="H374">
        <v>0</v>
      </c>
      <c r="I374">
        <v>0</v>
      </c>
      <c r="J374">
        <v>0</v>
      </c>
      <c r="K374">
        <v>0</v>
      </c>
    </row>
    <row r="375" spans="2:11">
      <c r="B375" t="s">
        <v>363</v>
      </c>
      <c r="C375" s="837">
        <v>45838</v>
      </c>
      <c r="D375" t="s">
        <v>357</v>
      </c>
      <c r="E375">
        <v>58</v>
      </c>
      <c r="F375">
        <v>63</v>
      </c>
      <c r="G375">
        <v>52</v>
      </c>
      <c r="H375">
        <v>5</v>
      </c>
      <c r="I375">
        <v>8</v>
      </c>
      <c r="J375">
        <v>8</v>
      </c>
      <c r="K375">
        <v>31</v>
      </c>
    </row>
    <row r="376" spans="2:11">
      <c r="B376" t="s">
        <v>362</v>
      </c>
      <c r="C376" s="837">
        <v>45838</v>
      </c>
      <c r="D376" t="s">
        <v>357</v>
      </c>
      <c r="E376">
        <v>11</v>
      </c>
      <c r="F376">
        <v>12</v>
      </c>
      <c r="G376">
        <v>3</v>
      </c>
      <c r="H376">
        <v>0</v>
      </c>
      <c r="I376">
        <v>0</v>
      </c>
      <c r="J376">
        <v>0</v>
      </c>
      <c r="K376">
        <v>3</v>
      </c>
    </row>
    <row r="377" spans="2:11">
      <c r="B377" t="s">
        <v>363</v>
      </c>
      <c r="C377" s="837">
        <v>45838</v>
      </c>
      <c r="D377" t="s">
        <v>358</v>
      </c>
      <c r="E377">
        <v>168</v>
      </c>
      <c r="F377">
        <v>110</v>
      </c>
      <c r="G377">
        <v>42</v>
      </c>
      <c r="H377">
        <v>4</v>
      </c>
      <c r="I377">
        <v>6</v>
      </c>
      <c r="J377">
        <v>4</v>
      </c>
      <c r="K377">
        <v>28</v>
      </c>
    </row>
    <row r="378" spans="2:11">
      <c r="B378" t="s">
        <v>362</v>
      </c>
      <c r="C378" s="837">
        <v>45838</v>
      </c>
      <c r="D378" t="s">
        <v>358</v>
      </c>
      <c r="E378">
        <v>2</v>
      </c>
      <c r="F378">
        <v>0</v>
      </c>
      <c r="G378">
        <v>0</v>
      </c>
      <c r="H378">
        <v>0</v>
      </c>
      <c r="I378">
        <v>0</v>
      </c>
      <c r="J378">
        <v>0</v>
      </c>
      <c r="K378">
        <v>0</v>
      </c>
    </row>
    <row r="379" spans="2:11">
      <c r="B379" t="s">
        <v>363</v>
      </c>
      <c r="C379" s="837">
        <v>45838</v>
      </c>
      <c r="D379" t="s">
        <v>359</v>
      </c>
      <c r="E379">
        <v>0</v>
      </c>
      <c r="F379">
        <v>2</v>
      </c>
      <c r="G379">
        <v>3</v>
      </c>
      <c r="H379">
        <v>1</v>
      </c>
      <c r="I379">
        <v>0</v>
      </c>
      <c r="J379">
        <v>1</v>
      </c>
      <c r="K379">
        <v>1</v>
      </c>
    </row>
    <row r="380" spans="2:11">
      <c r="B380" t="s">
        <v>363</v>
      </c>
      <c r="C380" s="837">
        <v>45838</v>
      </c>
      <c r="D380" t="s">
        <v>0</v>
      </c>
      <c r="E380">
        <v>0</v>
      </c>
      <c r="F380">
        <v>0</v>
      </c>
      <c r="G380">
        <v>5</v>
      </c>
      <c r="H380">
        <v>0</v>
      </c>
      <c r="I380">
        <v>0</v>
      </c>
      <c r="J380">
        <v>0</v>
      </c>
      <c r="K380">
        <v>5</v>
      </c>
    </row>
    <row r="381" spans="2:11">
      <c r="B381" t="s">
        <v>363</v>
      </c>
      <c r="C381" s="837">
        <v>45838</v>
      </c>
      <c r="D381" t="s">
        <v>364</v>
      </c>
      <c r="E381">
        <v>0</v>
      </c>
      <c r="F381">
        <v>1</v>
      </c>
      <c r="G381">
        <v>6</v>
      </c>
      <c r="H381">
        <v>5</v>
      </c>
      <c r="I381">
        <v>0</v>
      </c>
      <c r="J381">
        <v>0</v>
      </c>
      <c r="K381">
        <v>1</v>
      </c>
    </row>
    <row r="382" spans="2:11">
      <c r="B382" t="s">
        <v>362</v>
      </c>
      <c r="C382" s="837">
        <v>45838</v>
      </c>
      <c r="D382" t="s">
        <v>0</v>
      </c>
      <c r="E382">
        <v>0</v>
      </c>
      <c r="F382">
        <v>0</v>
      </c>
      <c r="G382">
        <v>3</v>
      </c>
      <c r="H382">
        <v>0</v>
      </c>
      <c r="I382">
        <v>0</v>
      </c>
      <c r="J382">
        <v>1</v>
      </c>
      <c r="K382">
        <v>2</v>
      </c>
    </row>
    <row r="383" spans="2:11">
      <c r="B383" t="s">
        <v>362</v>
      </c>
      <c r="C383" s="837">
        <v>45838</v>
      </c>
      <c r="D383" t="s">
        <v>364</v>
      </c>
      <c r="E383">
        <v>0</v>
      </c>
      <c r="F383">
        <v>0</v>
      </c>
      <c r="G383">
        <v>0</v>
      </c>
      <c r="H383">
        <v>0</v>
      </c>
      <c r="I383">
        <v>0</v>
      </c>
      <c r="J383">
        <v>0</v>
      </c>
      <c r="K383">
        <v>0</v>
      </c>
    </row>
    <row r="384" spans="2:11">
      <c r="B384" t="s">
        <v>363</v>
      </c>
      <c r="C384" s="837">
        <v>45838</v>
      </c>
      <c r="D384" t="s">
        <v>172</v>
      </c>
      <c r="E384">
        <v>0</v>
      </c>
      <c r="F384">
        <v>0</v>
      </c>
      <c r="G384">
        <v>0</v>
      </c>
      <c r="H384">
        <v>0</v>
      </c>
      <c r="I384">
        <v>0</v>
      </c>
      <c r="J384">
        <v>0</v>
      </c>
      <c r="K384">
        <v>0</v>
      </c>
    </row>
    <row r="385" spans="2:11">
      <c r="B385" t="s">
        <v>363</v>
      </c>
      <c r="C385" s="837">
        <v>45869</v>
      </c>
      <c r="D385" t="s">
        <v>357</v>
      </c>
      <c r="E385">
        <v>58</v>
      </c>
      <c r="F385">
        <v>66</v>
      </c>
      <c r="G385">
        <v>70</v>
      </c>
      <c r="H385">
        <v>12</v>
      </c>
      <c r="I385">
        <v>20</v>
      </c>
      <c r="J385">
        <v>9</v>
      </c>
      <c r="K385">
        <v>29</v>
      </c>
    </row>
    <row r="386" spans="2:11">
      <c r="B386" t="s">
        <v>362</v>
      </c>
      <c r="C386" s="837">
        <v>45869</v>
      </c>
      <c r="D386" t="s">
        <v>357</v>
      </c>
      <c r="E386">
        <v>7</v>
      </c>
      <c r="F386">
        <v>7</v>
      </c>
      <c r="G386">
        <v>2</v>
      </c>
      <c r="H386">
        <v>0</v>
      </c>
      <c r="I386">
        <v>0</v>
      </c>
      <c r="J386">
        <v>0</v>
      </c>
      <c r="K386">
        <v>2</v>
      </c>
    </row>
    <row r="387" spans="2:11">
      <c r="B387" t="s">
        <v>363</v>
      </c>
      <c r="C387" s="837">
        <v>45869</v>
      </c>
      <c r="D387" t="s">
        <v>358</v>
      </c>
      <c r="E387">
        <v>193</v>
      </c>
      <c r="F387">
        <v>88</v>
      </c>
      <c r="G387">
        <v>41</v>
      </c>
      <c r="H387">
        <v>1</v>
      </c>
      <c r="I387">
        <v>3</v>
      </c>
      <c r="J387">
        <v>9</v>
      </c>
      <c r="K387">
        <v>28</v>
      </c>
    </row>
    <row r="388" spans="2:11">
      <c r="B388" t="s">
        <v>362</v>
      </c>
      <c r="C388" s="837">
        <v>45869</v>
      </c>
      <c r="D388" t="s">
        <v>358</v>
      </c>
      <c r="E388">
        <v>8</v>
      </c>
      <c r="F388">
        <v>1</v>
      </c>
      <c r="G388">
        <v>0</v>
      </c>
      <c r="H388">
        <v>0</v>
      </c>
      <c r="I388">
        <v>0</v>
      </c>
      <c r="J388">
        <v>0</v>
      </c>
      <c r="K388">
        <v>0</v>
      </c>
    </row>
    <row r="389" spans="2:11">
      <c r="B389" t="s">
        <v>363</v>
      </c>
      <c r="C389" s="837">
        <v>45869</v>
      </c>
      <c r="D389" t="s">
        <v>359</v>
      </c>
      <c r="E389">
        <v>2</v>
      </c>
      <c r="F389">
        <v>5</v>
      </c>
      <c r="G389">
        <v>7</v>
      </c>
      <c r="H389">
        <v>1</v>
      </c>
      <c r="I389">
        <v>0</v>
      </c>
      <c r="J389">
        <v>3</v>
      </c>
      <c r="K389">
        <v>3</v>
      </c>
    </row>
    <row r="390" spans="2:11">
      <c r="B390" t="s">
        <v>363</v>
      </c>
      <c r="C390" s="837">
        <v>45869</v>
      </c>
      <c r="D390" t="s">
        <v>0</v>
      </c>
      <c r="E390">
        <v>0</v>
      </c>
      <c r="F390">
        <v>0</v>
      </c>
      <c r="G390">
        <v>4</v>
      </c>
      <c r="H390">
        <v>0</v>
      </c>
      <c r="I390">
        <v>0</v>
      </c>
      <c r="J390">
        <v>0</v>
      </c>
      <c r="K390">
        <v>4</v>
      </c>
    </row>
    <row r="391" spans="2:11">
      <c r="B391" t="s">
        <v>363</v>
      </c>
      <c r="C391" s="837">
        <v>45869</v>
      </c>
      <c r="D391" t="s">
        <v>364</v>
      </c>
      <c r="E391">
        <v>1</v>
      </c>
      <c r="F391">
        <v>1</v>
      </c>
      <c r="G391">
        <v>6</v>
      </c>
      <c r="H391">
        <v>4</v>
      </c>
      <c r="I391">
        <v>0</v>
      </c>
      <c r="J391">
        <v>0</v>
      </c>
      <c r="K391">
        <v>2</v>
      </c>
    </row>
    <row r="392" spans="2:11">
      <c r="B392" t="s">
        <v>362</v>
      </c>
      <c r="C392" s="837">
        <v>45869</v>
      </c>
      <c r="D392" t="s">
        <v>0</v>
      </c>
      <c r="E392">
        <v>0</v>
      </c>
      <c r="F392">
        <v>0</v>
      </c>
      <c r="G392">
        <v>2</v>
      </c>
      <c r="H392">
        <v>0</v>
      </c>
      <c r="I392">
        <v>0</v>
      </c>
      <c r="J392">
        <v>1</v>
      </c>
      <c r="K392">
        <v>1</v>
      </c>
    </row>
    <row r="393" spans="2:11">
      <c r="B393" t="s">
        <v>362</v>
      </c>
      <c r="C393" s="837">
        <v>45869</v>
      </c>
      <c r="D393" t="s">
        <v>364</v>
      </c>
      <c r="E393">
        <v>0</v>
      </c>
      <c r="F393">
        <v>0</v>
      </c>
      <c r="G393">
        <v>0</v>
      </c>
      <c r="H393">
        <v>0</v>
      </c>
      <c r="I393">
        <v>0</v>
      </c>
      <c r="J393">
        <v>0</v>
      </c>
      <c r="K393">
        <v>0</v>
      </c>
    </row>
    <row r="394" spans="2:11">
      <c r="B394" t="s">
        <v>363</v>
      </c>
      <c r="C394" s="837">
        <v>45869</v>
      </c>
      <c r="D394" t="s">
        <v>172</v>
      </c>
      <c r="E394">
        <v>0</v>
      </c>
      <c r="F394">
        <v>0</v>
      </c>
      <c r="G394">
        <v>0</v>
      </c>
      <c r="H394">
        <v>0</v>
      </c>
      <c r="I394">
        <v>0</v>
      </c>
      <c r="J394">
        <v>0</v>
      </c>
      <c r="K394">
        <v>0</v>
      </c>
    </row>
    <row r="395" spans="2:11">
      <c r="B395" t="s">
        <v>363</v>
      </c>
      <c r="C395" s="837">
        <v>45900</v>
      </c>
      <c r="D395" t="s">
        <v>357</v>
      </c>
      <c r="E395">
        <v>40</v>
      </c>
      <c r="F395">
        <v>49</v>
      </c>
      <c r="G395">
        <v>61</v>
      </c>
      <c r="H395">
        <v>2</v>
      </c>
      <c r="I395">
        <v>18</v>
      </c>
      <c r="J395">
        <v>7</v>
      </c>
      <c r="K395">
        <v>34</v>
      </c>
    </row>
    <row r="396" spans="2:11">
      <c r="B396" t="s">
        <v>362</v>
      </c>
      <c r="C396" s="837">
        <v>45900</v>
      </c>
      <c r="D396" t="s">
        <v>357</v>
      </c>
      <c r="E396">
        <v>4</v>
      </c>
      <c r="F396">
        <v>3</v>
      </c>
      <c r="G396">
        <v>2</v>
      </c>
      <c r="H396">
        <v>0</v>
      </c>
      <c r="I396">
        <v>0</v>
      </c>
      <c r="J396">
        <v>0</v>
      </c>
      <c r="K396">
        <v>2</v>
      </c>
    </row>
    <row r="397" spans="2:11">
      <c r="B397" t="s">
        <v>363</v>
      </c>
      <c r="C397" s="837">
        <v>45900</v>
      </c>
      <c r="D397" t="s">
        <v>358</v>
      </c>
      <c r="E397">
        <v>118</v>
      </c>
      <c r="F397">
        <v>65</v>
      </c>
      <c r="G397">
        <v>42</v>
      </c>
      <c r="H397">
        <v>5</v>
      </c>
      <c r="I397">
        <v>2</v>
      </c>
      <c r="J397">
        <v>9</v>
      </c>
      <c r="K397">
        <v>26</v>
      </c>
    </row>
    <row r="398" spans="2:11">
      <c r="B398" t="s">
        <v>362</v>
      </c>
      <c r="C398" s="837">
        <v>45900</v>
      </c>
      <c r="D398" t="s">
        <v>358</v>
      </c>
      <c r="E398">
        <v>0</v>
      </c>
      <c r="F398">
        <v>1</v>
      </c>
      <c r="G398">
        <v>0</v>
      </c>
      <c r="H398">
        <v>0</v>
      </c>
      <c r="I398">
        <v>0</v>
      </c>
      <c r="J398">
        <v>0</v>
      </c>
      <c r="K398">
        <v>0</v>
      </c>
    </row>
    <row r="399" spans="2:11">
      <c r="B399" t="s">
        <v>363</v>
      </c>
      <c r="C399" s="837">
        <v>45900</v>
      </c>
      <c r="D399" t="s">
        <v>359</v>
      </c>
      <c r="E399">
        <v>3</v>
      </c>
      <c r="F399">
        <v>12</v>
      </c>
      <c r="G399">
        <v>5</v>
      </c>
      <c r="H399">
        <v>1</v>
      </c>
      <c r="I399">
        <v>0</v>
      </c>
      <c r="J399">
        <v>0</v>
      </c>
      <c r="K399">
        <v>4</v>
      </c>
    </row>
    <row r="400" spans="2:11">
      <c r="B400" t="s">
        <v>363</v>
      </c>
      <c r="C400" s="837">
        <v>45900</v>
      </c>
      <c r="D400" t="s">
        <v>0</v>
      </c>
      <c r="E400">
        <v>0</v>
      </c>
      <c r="F400">
        <v>0</v>
      </c>
      <c r="G400">
        <v>3</v>
      </c>
      <c r="H400">
        <v>0</v>
      </c>
      <c r="I400">
        <v>0</v>
      </c>
      <c r="J400">
        <v>0</v>
      </c>
      <c r="K400">
        <v>3</v>
      </c>
    </row>
    <row r="401" spans="2:11">
      <c r="B401" t="s">
        <v>363</v>
      </c>
      <c r="C401" s="837">
        <v>45900</v>
      </c>
      <c r="D401" t="s">
        <v>364</v>
      </c>
      <c r="E401">
        <v>1</v>
      </c>
      <c r="F401">
        <v>0</v>
      </c>
      <c r="G401">
        <v>5</v>
      </c>
      <c r="H401">
        <v>4</v>
      </c>
      <c r="I401">
        <v>0</v>
      </c>
      <c r="J401">
        <v>0</v>
      </c>
      <c r="K401">
        <v>1</v>
      </c>
    </row>
    <row r="402" spans="2:11">
      <c r="B402" t="s">
        <v>362</v>
      </c>
      <c r="C402" s="837">
        <v>45900</v>
      </c>
      <c r="D402" t="s">
        <v>0</v>
      </c>
      <c r="E402">
        <v>0</v>
      </c>
      <c r="F402">
        <v>0</v>
      </c>
      <c r="G402">
        <v>6</v>
      </c>
      <c r="H402">
        <v>0</v>
      </c>
      <c r="I402">
        <v>1</v>
      </c>
      <c r="J402">
        <v>0</v>
      </c>
      <c r="K402">
        <v>5</v>
      </c>
    </row>
    <row r="403" spans="2:11">
      <c r="B403" t="s">
        <v>362</v>
      </c>
      <c r="C403" s="837">
        <v>45900</v>
      </c>
      <c r="D403" t="s">
        <v>364</v>
      </c>
      <c r="E403">
        <v>8</v>
      </c>
      <c r="F403">
        <v>10</v>
      </c>
      <c r="G403">
        <v>5</v>
      </c>
      <c r="H403">
        <v>0</v>
      </c>
      <c r="I403">
        <v>0</v>
      </c>
      <c r="J403">
        <v>1</v>
      </c>
      <c r="K403">
        <v>4</v>
      </c>
    </row>
    <row r="404" spans="2:11">
      <c r="B404" t="s">
        <v>363</v>
      </c>
      <c r="C404" s="837">
        <v>45900</v>
      </c>
      <c r="D404" t="s">
        <v>172</v>
      </c>
      <c r="E404">
        <v>0</v>
      </c>
      <c r="F404">
        <v>0</v>
      </c>
      <c r="G404">
        <v>0</v>
      </c>
      <c r="H404">
        <v>0</v>
      </c>
      <c r="I404">
        <v>0</v>
      </c>
      <c r="J404">
        <v>0</v>
      </c>
      <c r="K404">
        <v>0</v>
      </c>
    </row>
    <row r="405" spans="2:11">
      <c r="B405" t="s">
        <v>363</v>
      </c>
      <c r="C405" s="837">
        <v>45930</v>
      </c>
      <c r="D405" t="s">
        <v>357</v>
      </c>
      <c r="E405">
        <v>54</v>
      </c>
      <c r="F405">
        <v>57</v>
      </c>
      <c r="G405">
        <v>70</v>
      </c>
      <c r="H405">
        <v>8</v>
      </c>
      <c r="I405">
        <v>28</v>
      </c>
      <c r="J405">
        <v>12</v>
      </c>
      <c r="K405">
        <v>22</v>
      </c>
    </row>
    <row r="406" spans="2:11">
      <c r="B406" t="s">
        <v>362</v>
      </c>
      <c r="C406" s="837">
        <v>45930</v>
      </c>
      <c r="D406" t="s">
        <v>357</v>
      </c>
      <c r="E406">
        <v>3</v>
      </c>
      <c r="F406">
        <v>3</v>
      </c>
      <c r="G406">
        <v>1</v>
      </c>
      <c r="H406">
        <v>0</v>
      </c>
      <c r="I406">
        <v>0</v>
      </c>
      <c r="J406">
        <v>0</v>
      </c>
      <c r="K406">
        <v>1</v>
      </c>
    </row>
    <row r="407" spans="2:11">
      <c r="B407" t="s">
        <v>363</v>
      </c>
      <c r="C407" s="837">
        <v>45930</v>
      </c>
      <c r="D407" t="s">
        <v>358</v>
      </c>
      <c r="E407">
        <v>141</v>
      </c>
      <c r="F407">
        <v>87</v>
      </c>
      <c r="G407">
        <v>31</v>
      </c>
      <c r="H407">
        <v>2</v>
      </c>
      <c r="I407">
        <v>2</v>
      </c>
      <c r="J407">
        <v>1</v>
      </c>
      <c r="K407">
        <v>26</v>
      </c>
    </row>
    <row r="408" spans="2:11">
      <c r="B408" t="s">
        <v>362</v>
      </c>
      <c r="C408" s="837">
        <v>45930</v>
      </c>
      <c r="D408" t="s">
        <v>358</v>
      </c>
      <c r="E408">
        <v>0</v>
      </c>
      <c r="F408">
        <v>0</v>
      </c>
      <c r="G408">
        <v>1</v>
      </c>
      <c r="H408">
        <v>0</v>
      </c>
      <c r="I408">
        <v>0</v>
      </c>
      <c r="J408">
        <v>0</v>
      </c>
      <c r="K408">
        <v>1</v>
      </c>
    </row>
    <row r="409" spans="2:11">
      <c r="B409" t="s">
        <v>363</v>
      </c>
      <c r="C409" s="837">
        <v>45930</v>
      </c>
      <c r="D409" t="s">
        <v>359</v>
      </c>
      <c r="E409">
        <v>4</v>
      </c>
      <c r="F409">
        <v>12</v>
      </c>
      <c r="G409">
        <v>8</v>
      </c>
      <c r="H409">
        <v>2</v>
      </c>
      <c r="I409">
        <v>0</v>
      </c>
      <c r="J409">
        <v>2</v>
      </c>
      <c r="K409">
        <v>4</v>
      </c>
    </row>
    <row r="410" spans="2:11">
      <c r="B410" t="s">
        <v>363</v>
      </c>
      <c r="C410" s="837">
        <v>45930</v>
      </c>
      <c r="D410" t="s">
        <v>0</v>
      </c>
      <c r="E410">
        <v>1</v>
      </c>
      <c r="F410">
        <v>1</v>
      </c>
      <c r="G410">
        <v>1</v>
      </c>
      <c r="H410">
        <v>0</v>
      </c>
      <c r="I410">
        <v>0</v>
      </c>
      <c r="J410">
        <v>0</v>
      </c>
      <c r="K410">
        <v>1</v>
      </c>
    </row>
    <row r="411" spans="2:11">
      <c r="B411" t="s">
        <v>363</v>
      </c>
      <c r="C411" s="837">
        <v>45930</v>
      </c>
      <c r="D411" t="s">
        <v>364</v>
      </c>
      <c r="E411">
        <v>21</v>
      </c>
      <c r="F411">
        <v>14</v>
      </c>
      <c r="G411">
        <v>30</v>
      </c>
      <c r="H411">
        <v>17</v>
      </c>
      <c r="I411">
        <v>2</v>
      </c>
      <c r="J411">
        <v>1</v>
      </c>
      <c r="K411">
        <v>10</v>
      </c>
    </row>
    <row r="412" spans="2:11">
      <c r="B412" t="s">
        <v>362</v>
      </c>
      <c r="C412" s="837">
        <v>45930</v>
      </c>
      <c r="D412" t="s">
        <v>0</v>
      </c>
      <c r="E412">
        <v>0</v>
      </c>
      <c r="F412">
        <v>0</v>
      </c>
      <c r="G412">
        <v>4</v>
      </c>
      <c r="H412">
        <v>0</v>
      </c>
      <c r="I412">
        <v>0</v>
      </c>
      <c r="J412">
        <v>0</v>
      </c>
      <c r="K412">
        <v>4</v>
      </c>
    </row>
    <row r="413" spans="2:11">
      <c r="B413" t="s">
        <v>362</v>
      </c>
      <c r="C413" s="837">
        <v>45930</v>
      </c>
      <c r="D413" t="s">
        <v>364</v>
      </c>
      <c r="E413">
        <v>5</v>
      </c>
      <c r="F413">
        <v>3</v>
      </c>
      <c r="G413">
        <v>5</v>
      </c>
      <c r="H413">
        <v>0</v>
      </c>
      <c r="I413">
        <v>0</v>
      </c>
      <c r="J413">
        <v>0</v>
      </c>
      <c r="K413">
        <v>5</v>
      </c>
    </row>
    <row r="414" spans="2:11">
      <c r="B414" t="s">
        <v>363</v>
      </c>
      <c r="C414" s="837">
        <v>45930</v>
      </c>
      <c r="D414" t="s">
        <v>172</v>
      </c>
      <c r="E414">
        <v>0</v>
      </c>
      <c r="F414">
        <v>0</v>
      </c>
      <c r="G414">
        <v>0</v>
      </c>
      <c r="H414">
        <v>0</v>
      </c>
      <c r="I414">
        <v>0</v>
      </c>
      <c r="J414">
        <v>0</v>
      </c>
      <c r="K414">
        <v>0</v>
      </c>
    </row>
    <row r="415" spans="2:11">
      <c r="B415" t="s">
        <v>362</v>
      </c>
      <c r="C415" s="837">
        <v>45961</v>
      </c>
      <c r="D415" t="s">
        <v>357</v>
      </c>
      <c r="E415">
        <v>14</v>
      </c>
      <c r="F415">
        <v>9</v>
      </c>
      <c r="G415">
        <v>4</v>
      </c>
      <c r="H415">
        <v>0</v>
      </c>
      <c r="I415">
        <v>0</v>
      </c>
      <c r="J415">
        <v>0</v>
      </c>
      <c r="K415">
        <v>4</v>
      </c>
    </row>
    <row r="416" spans="2:11">
      <c r="B416" t="s">
        <v>362</v>
      </c>
      <c r="C416" s="837">
        <v>45961</v>
      </c>
      <c r="D416" t="s">
        <v>358</v>
      </c>
      <c r="E416">
        <v>1</v>
      </c>
      <c r="F416">
        <v>0</v>
      </c>
      <c r="G416">
        <v>0</v>
      </c>
      <c r="H416">
        <v>0</v>
      </c>
      <c r="I416">
        <v>0</v>
      </c>
      <c r="J416">
        <v>0</v>
      </c>
      <c r="K416">
        <v>0</v>
      </c>
    </row>
    <row r="417" spans="2:11">
      <c r="B417" t="s">
        <v>362</v>
      </c>
      <c r="C417" s="837">
        <v>45961</v>
      </c>
      <c r="D417" t="s">
        <v>359</v>
      </c>
      <c r="E417">
        <v>0</v>
      </c>
      <c r="F417">
        <v>0</v>
      </c>
      <c r="G417">
        <v>0</v>
      </c>
      <c r="H417">
        <v>0</v>
      </c>
      <c r="I417">
        <v>0</v>
      </c>
      <c r="J417">
        <v>0</v>
      </c>
      <c r="K417">
        <v>0</v>
      </c>
    </row>
    <row r="418" spans="2:11">
      <c r="B418" t="s">
        <v>362</v>
      </c>
      <c r="C418" s="837">
        <v>45961</v>
      </c>
      <c r="D418" t="s">
        <v>0</v>
      </c>
      <c r="E418">
        <v>0</v>
      </c>
      <c r="F418">
        <v>0</v>
      </c>
      <c r="G418">
        <v>3</v>
      </c>
      <c r="H418">
        <v>0</v>
      </c>
      <c r="I418">
        <v>0</v>
      </c>
      <c r="J418">
        <v>1</v>
      </c>
      <c r="K418">
        <v>2</v>
      </c>
    </row>
    <row r="419" spans="2:11">
      <c r="B419" t="s">
        <v>362</v>
      </c>
      <c r="C419" s="837">
        <v>45961</v>
      </c>
      <c r="D419" t="s">
        <v>364</v>
      </c>
      <c r="E419">
        <v>0</v>
      </c>
      <c r="F419">
        <v>0</v>
      </c>
      <c r="G419">
        <v>2</v>
      </c>
      <c r="H419">
        <v>0</v>
      </c>
      <c r="I419">
        <v>0</v>
      </c>
      <c r="J419">
        <v>0</v>
      </c>
      <c r="K419">
        <v>2</v>
      </c>
    </row>
    <row r="420" spans="2:11">
      <c r="B420" t="s">
        <v>363</v>
      </c>
      <c r="C420" s="837">
        <v>45961</v>
      </c>
      <c r="D420" t="s">
        <v>357</v>
      </c>
      <c r="E420">
        <v>43</v>
      </c>
      <c r="F420">
        <v>54</v>
      </c>
      <c r="G420">
        <v>81</v>
      </c>
      <c r="H420">
        <v>12</v>
      </c>
      <c r="I420">
        <v>31</v>
      </c>
      <c r="J420">
        <v>10</v>
      </c>
      <c r="K420">
        <v>28</v>
      </c>
    </row>
    <row r="421" spans="2:11">
      <c r="B421" t="s">
        <v>363</v>
      </c>
      <c r="C421" s="837">
        <v>45961</v>
      </c>
      <c r="D421" t="s">
        <v>358</v>
      </c>
      <c r="E421">
        <v>130</v>
      </c>
      <c r="F421">
        <v>132</v>
      </c>
      <c r="G421">
        <v>48</v>
      </c>
      <c r="H421">
        <v>9</v>
      </c>
      <c r="I421">
        <v>2</v>
      </c>
      <c r="J421">
        <v>4</v>
      </c>
      <c r="K421">
        <v>33</v>
      </c>
    </row>
    <row r="422" spans="2:11">
      <c r="B422" t="s">
        <v>363</v>
      </c>
      <c r="C422" s="837">
        <v>45961</v>
      </c>
      <c r="D422" t="s">
        <v>359</v>
      </c>
      <c r="E422">
        <v>8</v>
      </c>
      <c r="F422">
        <v>9</v>
      </c>
      <c r="G422">
        <v>7</v>
      </c>
      <c r="H422">
        <v>2</v>
      </c>
      <c r="I422">
        <v>0</v>
      </c>
      <c r="J422">
        <v>0</v>
      </c>
      <c r="K422">
        <v>5</v>
      </c>
    </row>
    <row r="423" spans="2:11">
      <c r="B423" t="s">
        <v>363</v>
      </c>
      <c r="C423" s="837">
        <v>45961</v>
      </c>
      <c r="D423" t="s">
        <v>172</v>
      </c>
      <c r="E423">
        <v>0</v>
      </c>
      <c r="F423">
        <v>0</v>
      </c>
      <c r="G423">
        <v>0</v>
      </c>
      <c r="H423">
        <v>0</v>
      </c>
      <c r="I423">
        <v>0</v>
      </c>
      <c r="J423">
        <v>0</v>
      </c>
      <c r="K423">
        <v>0</v>
      </c>
    </row>
    <row r="424" spans="2:11">
      <c r="B424" t="s">
        <v>363</v>
      </c>
      <c r="C424" s="837">
        <v>45961</v>
      </c>
      <c r="D424" t="s">
        <v>0</v>
      </c>
      <c r="E424">
        <v>0</v>
      </c>
      <c r="F424">
        <v>0</v>
      </c>
      <c r="G424">
        <v>1</v>
      </c>
      <c r="H424">
        <v>0</v>
      </c>
      <c r="I424">
        <v>0</v>
      </c>
      <c r="J424">
        <v>0</v>
      </c>
      <c r="K424">
        <v>1</v>
      </c>
    </row>
    <row r="425" spans="2:11">
      <c r="B425" t="s">
        <v>363</v>
      </c>
      <c r="C425" s="837">
        <v>45961</v>
      </c>
      <c r="D425" t="s">
        <v>364</v>
      </c>
      <c r="E425">
        <v>0</v>
      </c>
      <c r="F425">
        <v>1</v>
      </c>
      <c r="G425">
        <v>17</v>
      </c>
      <c r="H425">
        <v>12</v>
      </c>
      <c r="I425">
        <v>0</v>
      </c>
      <c r="J425">
        <v>0</v>
      </c>
      <c r="K425">
        <v>5</v>
      </c>
    </row>
    <row r="426" spans="2:11">
      <c r="B426" t="s">
        <v>362</v>
      </c>
      <c r="C426" s="837">
        <v>45991</v>
      </c>
      <c r="D426" t="s">
        <v>357</v>
      </c>
      <c r="E426">
        <v>3</v>
      </c>
      <c r="F426">
        <v>11</v>
      </c>
      <c r="G426">
        <v>2</v>
      </c>
      <c r="H426">
        <v>0</v>
      </c>
      <c r="I426">
        <v>0</v>
      </c>
      <c r="J426">
        <v>0</v>
      </c>
      <c r="K426">
        <v>2</v>
      </c>
    </row>
    <row r="427" spans="2:11">
      <c r="B427" t="s">
        <v>362</v>
      </c>
      <c r="C427" s="837">
        <v>45991</v>
      </c>
      <c r="D427" t="s">
        <v>358</v>
      </c>
      <c r="E427">
        <v>0</v>
      </c>
      <c r="F427">
        <v>2</v>
      </c>
      <c r="G427">
        <v>0</v>
      </c>
      <c r="H427">
        <v>0</v>
      </c>
      <c r="I427">
        <v>0</v>
      </c>
      <c r="J427">
        <v>0</v>
      </c>
      <c r="K427">
        <v>0</v>
      </c>
    </row>
    <row r="428" spans="2:11">
      <c r="B428" t="s">
        <v>362</v>
      </c>
      <c r="C428" s="837">
        <v>45991</v>
      </c>
      <c r="D428" t="s">
        <v>359</v>
      </c>
      <c r="E428">
        <v>0</v>
      </c>
      <c r="F428">
        <v>0</v>
      </c>
      <c r="G428">
        <v>0</v>
      </c>
      <c r="H428">
        <v>0</v>
      </c>
      <c r="I428">
        <v>0</v>
      </c>
      <c r="J428">
        <v>0</v>
      </c>
      <c r="K428">
        <v>0</v>
      </c>
    </row>
    <row r="429" spans="2:11">
      <c r="B429" t="s">
        <v>362</v>
      </c>
      <c r="C429" s="837">
        <v>45991</v>
      </c>
      <c r="D429" t="s">
        <v>0</v>
      </c>
      <c r="E429">
        <v>0</v>
      </c>
      <c r="F429">
        <v>0</v>
      </c>
      <c r="G429">
        <v>4</v>
      </c>
      <c r="H429">
        <v>0</v>
      </c>
      <c r="I429">
        <v>0</v>
      </c>
      <c r="J429">
        <v>0</v>
      </c>
      <c r="K429">
        <v>4</v>
      </c>
    </row>
    <row r="430" spans="2:11">
      <c r="B430" t="s">
        <v>362</v>
      </c>
      <c r="C430" s="837">
        <v>45991</v>
      </c>
      <c r="D430" t="s">
        <v>364</v>
      </c>
      <c r="E430">
        <v>0</v>
      </c>
      <c r="F430">
        <v>0</v>
      </c>
      <c r="G430">
        <v>0</v>
      </c>
      <c r="H430">
        <v>0</v>
      </c>
      <c r="I430">
        <v>0</v>
      </c>
      <c r="J430">
        <v>0</v>
      </c>
      <c r="K430">
        <v>0</v>
      </c>
    </row>
    <row r="431" spans="2:11">
      <c r="B431" t="s">
        <v>363</v>
      </c>
      <c r="C431" s="837">
        <v>45991</v>
      </c>
      <c r="D431" t="s">
        <v>357</v>
      </c>
      <c r="E431">
        <v>51</v>
      </c>
      <c r="F431">
        <v>57</v>
      </c>
      <c r="G431">
        <v>63</v>
      </c>
      <c r="H431">
        <v>8</v>
      </c>
      <c r="I431">
        <v>15</v>
      </c>
      <c r="J431">
        <v>12</v>
      </c>
      <c r="K431">
        <v>28</v>
      </c>
    </row>
    <row r="432" spans="2:11">
      <c r="B432" t="s">
        <v>363</v>
      </c>
      <c r="C432" s="837">
        <v>45991</v>
      </c>
      <c r="D432" t="s">
        <v>358</v>
      </c>
      <c r="E432">
        <v>119</v>
      </c>
      <c r="F432">
        <v>133</v>
      </c>
      <c r="G432">
        <v>38</v>
      </c>
      <c r="H432">
        <v>1</v>
      </c>
      <c r="I432">
        <v>4</v>
      </c>
      <c r="J432">
        <v>3</v>
      </c>
      <c r="K432">
        <v>30</v>
      </c>
    </row>
    <row r="433" spans="2:11">
      <c r="B433" t="s">
        <v>363</v>
      </c>
      <c r="C433" s="837">
        <v>45991</v>
      </c>
      <c r="D433" t="s">
        <v>359</v>
      </c>
      <c r="E433">
        <v>8</v>
      </c>
      <c r="F433">
        <v>11</v>
      </c>
      <c r="G433">
        <v>4</v>
      </c>
      <c r="H433">
        <v>0</v>
      </c>
      <c r="I433">
        <v>0</v>
      </c>
      <c r="J433">
        <v>2</v>
      </c>
      <c r="K433">
        <v>2</v>
      </c>
    </row>
    <row r="434" spans="2:11">
      <c r="B434" t="s">
        <v>363</v>
      </c>
      <c r="C434" s="837">
        <v>45991</v>
      </c>
      <c r="D434" t="s">
        <v>172</v>
      </c>
      <c r="E434">
        <v>0</v>
      </c>
      <c r="F434">
        <v>0</v>
      </c>
      <c r="G434">
        <v>0</v>
      </c>
      <c r="H434">
        <v>0</v>
      </c>
      <c r="I434">
        <v>0</v>
      </c>
      <c r="J434">
        <v>0</v>
      </c>
      <c r="K434">
        <v>0</v>
      </c>
    </row>
    <row r="435" spans="2:11">
      <c r="B435" t="s">
        <v>363</v>
      </c>
      <c r="C435" s="837">
        <v>45991</v>
      </c>
      <c r="D435" t="s">
        <v>0</v>
      </c>
      <c r="E435">
        <v>0</v>
      </c>
      <c r="F435">
        <v>1</v>
      </c>
      <c r="G435">
        <v>3</v>
      </c>
      <c r="H435">
        <v>0</v>
      </c>
      <c r="I435">
        <v>0</v>
      </c>
      <c r="J435">
        <v>0</v>
      </c>
      <c r="K435">
        <v>3</v>
      </c>
    </row>
    <row r="436" spans="2:11">
      <c r="B436" t="s">
        <v>363</v>
      </c>
      <c r="C436" s="837">
        <v>45991</v>
      </c>
      <c r="D436" t="s">
        <v>364</v>
      </c>
      <c r="E436">
        <v>0</v>
      </c>
      <c r="F436">
        <v>0</v>
      </c>
      <c r="G436">
        <v>10</v>
      </c>
      <c r="H436">
        <v>8</v>
      </c>
      <c r="I436">
        <v>0</v>
      </c>
      <c r="J436">
        <v>0</v>
      </c>
      <c r="K436">
        <v>2</v>
      </c>
    </row>
    <row r="437" spans="2:11">
      <c r="B437" t="s">
        <v>362</v>
      </c>
      <c r="C437" s="837">
        <v>46022</v>
      </c>
      <c r="D437" t="s">
        <v>357</v>
      </c>
      <c r="E437">
        <v>14</v>
      </c>
      <c r="F437">
        <v>11</v>
      </c>
      <c r="G437">
        <v>7</v>
      </c>
      <c r="H437">
        <v>0</v>
      </c>
      <c r="I437">
        <v>0</v>
      </c>
      <c r="J437">
        <v>0</v>
      </c>
      <c r="K437">
        <v>7</v>
      </c>
    </row>
    <row r="438" spans="2:11">
      <c r="B438" t="s">
        <v>362</v>
      </c>
      <c r="C438" s="837">
        <v>46022</v>
      </c>
      <c r="D438" t="s">
        <v>358</v>
      </c>
      <c r="E438">
        <v>3</v>
      </c>
      <c r="F438">
        <v>3</v>
      </c>
      <c r="G438">
        <v>2</v>
      </c>
      <c r="H438">
        <v>0</v>
      </c>
      <c r="I438">
        <v>0</v>
      </c>
      <c r="J438">
        <v>0</v>
      </c>
      <c r="K438">
        <v>2</v>
      </c>
    </row>
    <row r="439" spans="2:11">
      <c r="B439" t="s">
        <v>362</v>
      </c>
      <c r="C439" s="837">
        <v>46022</v>
      </c>
      <c r="D439" t="s">
        <v>359</v>
      </c>
      <c r="E439">
        <v>0</v>
      </c>
      <c r="F439">
        <v>0</v>
      </c>
      <c r="G439">
        <v>0</v>
      </c>
      <c r="H439">
        <v>0</v>
      </c>
      <c r="I439">
        <v>0</v>
      </c>
      <c r="J439">
        <v>0</v>
      </c>
      <c r="K439">
        <v>0</v>
      </c>
    </row>
    <row r="440" spans="2:11">
      <c r="B440" t="s">
        <v>362</v>
      </c>
      <c r="C440" s="837">
        <v>46022</v>
      </c>
      <c r="D440" t="s">
        <v>0</v>
      </c>
      <c r="E440">
        <v>0</v>
      </c>
      <c r="F440">
        <v>0</v>
      </c>
      <c r="G440">
        <v>3</v>
      </c>
      <c r="H440">
        <v>0</v>
      </c>
      <c r="I440">
        <v>0</v>
      </c>
      <c r="J440">
        <v>0</v>
      </c>
      <c r="K440">
        <v>3</v>
      </c>
    </row>
    <row r="441" spans="2:11">
      <c r="B441" t="s">
        <v>362</v>
      </c>
      <c r="C441" s="837">
        <v>46022</v>
      </c>
      <c r="D441" t="s">
        <v>364</v>
      </c>
      <c r="E441">
        <v>1</v>
      </c>
      <c r="F441">
        <v>0</v>
      </c>
      <c r="G441">
        <v>0</v>
      </c>
      <c r="H441">
        <v>0</v>
      </c>
      <c r="I441">
        <v>0</v>
      </c>
      <c r="J441">
        <v>0</v>
      </c>
      <c r="K441">
        <v>0</v>
      </c>
    </row>
    <row r="442" spans="2:11">
      <c r="B442" t="s">
        <v>363</v>
      </c>
      <c r="C442" s="837">
        <v>46022</v>
      </c>
      <c r="D442" t="s">
        <v>357</v>
      </c>
      <c r="E442">
        <v>65</v>
      </c>
      <c r="F442">
        <v>75</v>
      </c>
      <c r="G442">
        <v>76</v>
      </c>
      <c r="H442">
        <v>10</v>
      </c>
      <c r="I442">
        <v>20</v>
      </c>
      <c r="J442">
        <v>11</v>
      </c>
      <c r="K442">
        <v>35</v>
      </c>
    </row>
    <row r="443" spans="2:11">
      <c r="B443" t="s">
        <v>363</v>
      </c>
      <c r="C443" s="837">
        <v>46022</v>
      </c>
      <c r="D443" t="s">
        <v>358</v>
      </c>
      <c r="E443">
        <v>182</v>
      </c>
      <c r="F443">
        <v>148</v>
      </c>
      <c r="G443">
        <v>55</v>
      </c>
      <c r="H443">
        <v>3</v>
      </c>
      <c r="I443">
        <v>2</v>
      </c>
      <c r="J443">
        <v>10</v>
      </c>
      <c r="K443">
        <v>40</v>
      </c>
    </row>
    <row r="444" spans="2:11">
      <c r="B444" t="s">
        <v>363</v>
      </c>
      <c r="C444" s="837">
        <v>46022</v>
      </c>
      <c r="D444" t="s">
        <v>359</v>
      </c>
      <c r="E444">
        <v>11</v>
      </c>
      <c r="F444">
        <v>23</v>
      </c>
      <c r="G444">
        <v>10</v>
      </c>
      <c r="H444">
        <v>0</v>
      </c>
      <c r="I444">
        <v>0</v>
      </c>
      <c r="J444">
        <v>4</v>
      </c>
      <c r="K444">
        <v>6</v>
      </c>
    </row>
    <row r="445" spans="2:11">
      <c r="B445" t="s">
        <v>363</v>
      </c>
      <c r="C445" s="837">
        <v>46022</v>
      </c>
      <c r="D445" t="s">
        <v>172</v>
      </c>
      <c r="E445">
        <v>0</v>
      </c>
      <c r="F445">
        <v>0</v>
      </c>
      <c r="G445">
        <v>0</v>
      </c>
      <c r="H445">
        <v>0</v>
      </c>
      <c r="I445">
        <v>0</v>
      </c>
      <c r="J445">
        <v>0</v>
      </c>
      <c r="K445">
        <v>0</v>
      </c>
    </row>
    <row r="446" spans="2:11">
      <c r="B446" t="s">
        <v>363</v>
      </c>
      <c r="C446" s="837">
        <v>46022</v>
      </c>
      <c r="D446" t="s">
        <v>0</v>
      </c>
      <c r="E446">
        <v>1</v>
      </c>
      <c r="F446">
        <v>0</v>
      </c>
      <c r="G446">
        <v>1</v>
      </c>
      <c r="H446">
        <v>0</v>
      </c>
      <c r="I446">
        <v>0</v>
      </c>
      <c r="J446">
        <v>1</v>
      </c>
      <c r="K446">
        <v>0</v>
      </c>
    </row>
    <row r="447" spans="2:11">
      <c r="B447" t="s">
        <v>363</v>
      </c>
      <c r="C447" s="837">
        <v>46022</v>
      </c>
      <c r="D447" t="s">
        <v>364</v>
      </c>
      <c r="E447">
        <v>1</v>
      </c>
      <c r="F447">
        <v>0</v>
      </c>
      <c r="G447">
        <v>11</v>
      </c>
      <c r="H447">
        <v>9</v>
      </c>
      <c r="I447">
        <v>0</v>
      </c>
      <c r="J447">
        <v>1</v>
      </c>
      <c r="K447">
        <v>1</v>
      </c>
    </row>
    <row r="448" spans="2:11">
      <c r="B448" t="s">
        <v>362</v>
      </c>
      <c r="C448" s="837">
        <v>46053</v>
      </c>
      <c r="D448" t="s">
        <v>357</v>
      </c>
      <c r="E448">
        <v>7</v>
      </c>
      <c r="F448">
        <v>5</v>
      </c>
      <c r="G448">
        <v>5</v>
      </c>
      <c r="H448">
        <v>0</v>
      </c>
      <c r="I448">
        <v>0</v>
      </c>
      <c r="J448">
        <v>0</v>
      </c>
      <c r="K448">
        <v>5</v>
      </c>
    </row>
    <row r="449" spans="2:11">
      <c r="B449" t="s">
        <v>362</v>
      </c>
      <c r="C449" s="837">
        <v>46053</v>
      </c>
      <c r="D449" t="s">
        <v>358</v>
      </c>
      <c r="E449">
        <v>0</v>
      </c>
      <c r="F449">
        <v>1</v>
      </c>
      <c r="G449">
        <v>0</v>
      </c>
      <c r="H449">
        <v>0</v>
      </c>
      <c r="I449">
        <v>0</v>
      </c>
      <c r="J449">
        <v>0</v>
      </c>
      <c r="K449">
        <v>0</v>
      </c>
    </row>
    <row r="450" spans="2:11">
      <c r="B450" t="s">
        <v>362</v>
      </c>
      <c r="C450" s="837">
        <v>46053</v>
      </c>
      <c r="D450" t="s">
        <v>359</v>
      </c>
      <c r="E450">
        <v>0</v>
      </c>
      <c r="F450">
        <v>0</v>
      </c>
      <c r="G450">
        <v>0</v>
      </c>
      <c r="H450">
        <v>0</v>
      </c>
      <c r="I450">
        <v>0</v>
      </c>
      <c r="J450">
        <v>0</v>
      </c>
      <c r="K450">
        <v>0</v>
      </c>
    </row>
    <row r="451" spans="2:11">
      <c r="B451" t="s">
        <v>362</v>
      </c>
      <c r="C451" s="837">
        <v>46053</v>
      </c>
      <c r="D451" t="s">
        <v>0</v>
      </c>
      <c r="E451">
        <v>1</v>
      </c>
      <c r="F451">
        <v>0</v>
      </c>
      <c r="G451">
        <v>4</v>
      </c>
      <c r="H451">
        <v>0</v>
      </c>
      <c r="I451">
        <v>0</v>
      </c>
      <c r="J451">
        <v>0</v>
      </c>
      <c r="K451">
        <v>4</v>
      </c>
    </row>
    <row r="452" spans="2:11">
      <c r="B452" t="s">
        <v>362</v>
      </c>
      <c r="C452" s="837">
        <v>46053</v>
      </c>
      <c r="D452" t="s">
        <v>364</v>
      </c>
      <c r="E452">
        <v>0</v>
      </c>
      <c r="F452">
        <v>0</v>
      </c>
      <c r="G452">
        <v>0</v>
      </c>
      <c r="H452">
        <v>0</v>
      </c>
      <c r="I452">
        <v>0</v>
      </c>
      <c r="J452">
        <v>0</v>
      </c>
      <c r="K452">
        <v>0</v>
      </c>
    </row>
    <row r="453" spans="2:11">
      <c r="B453" t="s">
        <v>363</v>
      </c>
      <c r="C453" s="837">
        <v>46053</v>
      </c>
      <c r="D453" t="s">
        <v>357</v>
      </c>
      <c r="E453">
        <v>56</v>
      </c>
      <c r="F453">
        <v>55</v>
      </c>
      <c r="G453">
        <v>50</v>
      </c>
      <c r="H453">
        <v>10</v>
      </c>
      <c r="I453">
        <v>14</v>
      </c>
      <c r="J453">
        <v>7</v>
      </c>
      <c r="K453">
        <v>19</v>
      </c>
    </row>
    <row r="454" spans="2:11">
      <c r="B454" t="s">
        <v>363</v>
      </c>
      <c r="C454" s="837">
        <v>46053</v>
      </c>
      <c r="D454" t="s">
        <v>358</v>
      </c>
      <c r="E454">
        <v>138</v>
      </c>
      <c r="F454">
        <v>103</v>
      </c>
      <c r="G454">
        <v>38</v>
      </c>
      <c r="H454">
        <v>5</v>
      </c>
      <c r="I454">
        <v>1</v>
      </c>
      <c r="J454">
        <v>7</v>
      </c>
      <c r="K454">
        <v>25</v>
      </c>
    </row>
    <row r="455" spans="2:11">
      <c r="B455" t="s">
        <v>363</v>
      </c>
      <c r="C455" s="837">
        <v>46053</v>
      </c>
      <c r="D455" t="s">
        <v>359</v>
      </c>
      <c r="E455">
        <v>10</v>
      </c>
      <c r="F455">
        <v>19</v>
      </c>
      <c r="G455">
        <v>7</v>
      </c>
      <c r="H455">
        <v>3</v>
      </c>
      <c r="I455">
        <v>0</v>
      </c>
      <c r="J455">
        <v>1</v>
      </c>
      <c r="K455">
        <v>3</v>
      </c>
    </row>
    <row r="456" spans="2:11">
      <c r="B456" t="s">
        <v>363</v>
      </c>
      <c r="C456" s="837">
        <v>46053</v>
      </c>
      <c r="D456" t="s">
        <v>172</v>
      </c>
      <c r="E456">
        <v>0</v>
      </c>
      <c r="F456">
        <v>0</v>
      </c>
      <c r="G456">
        <v>0</v>
      </c>
      <c r="H456">
        <v>0</v>
      </c>
      <c r="I456">
        <v>0</v>
      </c>
      <c r="J456">
        <v>0</v>
      </c>
      <c r="K456">
        <v>0</v>
      </c>
    </row>
    <row r="457" spans="2:11">
      <c r="B457" t="s">
        <v>363</v>
      </c>
      <c r="C457" s="837">
        <v>46053</v>
      </c>
      <c r="D457" t="s">
        <v>0</v>
      </c>
      <c r="E457">
        <v>0</v>
      </c>
      <c r="F457">
        <v>0</v>
      </c>
      <c r="G457">
        <v>2</v>
      </c>
      <c r="H457">
        <v>0</v>
      </c>
      <c r="I457">
        <v>0</v>
      </c>
      <c r="J457">
        <v>2</v>
      </c>
      <c r="K457">
        <v>0</v>
      </c>
    </row>
    <row r="458" spans="2:11">
      <c r="B458" t="s">
        <v>363</v>
      </c>
      <c r="C458" s="837">
        <v>46053</v>
      </c>
      <c r="D458" t="s">
        <v>364</v>
      </c>
      <c r="E458">
        <v>0</v>
      </c>
      <c r="F458">
        <v>0</v>
      </c>
      <c r="G458">
        <v>9</v>
      </c>
      <c r="H458">
        <v>9</v>
      </c>
      <c r="I458">
        <v>0</v>
      </c>
      <c r="J458">
        <v>0</v>
      </c>
      <c r="K458">
        <v>0</v>
      </c>
    </row>
    <row r="459" spans="2:11">
      <c r="B459" t="s">
        <v>362</v>
      </c>
      <c r="C459" s="837">
        <v>46081</v>
      </c>
      <c r="D459" t="s">
        <v>357</v>
      </c>
      <c r="E459">
        <v>11</v>
      </c>
      <c r="F459">
        <v>4</v>
      </c>
      <c r="G459">
        <v>1</v>
      </c>
      <c r="H459">
        <v>0</v>
      </c>
      <c r="I459">
        <v>0</v>
      </c>
      <c r="J459">
        <v>0</v>
      </c>
      <c r="K459">
        <v>1</v>
      </c>
    </row>
    <row r="460" spans="2:11">
      <c r="B460" t="s">
        <v>362</v>
      </c>
      <c r="C460" s="837">
        <v>46081</v>
      </c>
      <c r="D460" t="s">
        <v>358</v>
      </c>
      <c r="E460">
        <v>1</v>
      </c>
      <c r="F460">
        <v>2</v>
      </c>
      <c r="G460">
        <v>1</v>
      </c>
      <c r="H460">
        <v>0</v>
      </c>
      <c r="I460">
        <v>0</v>
      </c>
      <c r="J460">
        <v>0</v>
      </c>
      <c r="K460">
        <v>1</v>
      </c>
    </row>
    <row r="461" spans="2:11">
      <c r="B461" t="s">
        <v>362</v>
      </c>
      <c r="C461" s="837">
        <v>46081</v>
      </c>
      <c r="D461" t="s">
        <v>359</v>
      </c>
      <c r="E461">
        <v>0</v>
      </c>
      <c r="F461">
        <v>0</v>
      </c>
      <c r="G461">
        <v>0</v>
      </c>
      <c r="H461">
        <v>0</v>
      </c>
      <c r="I461">
        <v>0</v>
      </c>
      <c r="J461">
        <v>0</v>
      </c>
      <c r="K461">
        <v>0</v>
      </c>
    </row>
    <row r="462" spans="2:11">
      <c r="B462" t="s">
        <v>362</v>
      </c>
      <c r="C462" s="837">
        <v>46081</v>
      </c>
      <c r="D462" t="s">
        <v>0</v>
      </c>
      <c r="E462">
        <v>1</v>
      </c>
      <c r="F462">
        <v>1</v>
      </c>
      <c r="G462">
        <v>1</v>
      </c>
      <c r="H462">
        <v>0</v>
      </c>
      <c r="I462">
        <v>0</v>
      </c>
      <c r="J462">
        <v>0</v>
      </c>
      <c r="K462">
        <v>1</v>
      </c>
    </row>
    <row r="463" spans="2:11">
      <c r="B463" t="s">
        <v>362</v>
      </c>
      <c r="C463" s="837">
        <v>46081</v>
      </c>
      <c r="D463" t="s">
        <v>364</v>
      </c>
      <c r="E463">
        <v>0</v>
      </c>
      <c r="F463">
        <v>0</v>
      </c>
      <c r="G463">
        <v>1</v>
      </c>
      <c r="H463">
        <v>0</v>
      </c>
      <c r="I463">
        <v>0</v>
      </c>
      <c r="J463">
        <v>0</v>
      </c>
      <c r="K463">
        <v>1</v>
      </c>
    </row>
    <row r="464" spans="2:11">
      <c r="B464" t="s">
        <v>363</v>
      </c>
      <c r="C464" s="837">
        <v>46081</v>
      </c>
      <c r="D464" t="s">
        <v>357</v>
      </c>
      <c r="E464">
        <v>67</v>
      </c>
      <c r="F464">
        <v>72</v>
      </c>
      <c r="G464">
        <v>80</v>
      </c>
      <c r="H464">
        <v>19</v>
      </c>
      <c r="I464">
        <v>16</v>
      </c>
      <c r="J464">
        <v>15</v>
      </c>
      <c r="K464">
        <v>30</v>
      </c>
    </row>
    <row r="465" spans="2:11">
      <c r="B465" t="s">
        <v>363</v>
      </c>
      <c r="C465" s="837">
        <v>46081</v>
      </c>
      <c r="D465" t="s">
        <v>358</v>
      </c>
      <c r="E465">
        <v>151</v>
      </c>
      <c r="F465">
        <v>111</v>
      </c>
      <c r="G465">
        <v>41</v>
      </c>
      <c r="H465">
        <v>8</v>
      </c>
      <c r="I465">
        <v>3</v>
      </c>
      <c r="J465">
        <v>9</v>
      </c>
      <c r="K465">
        <v>21</v>
      </c>
    </row>
    <row r="466" spans="2:11">
      <c r="B466" t="s">
        <v>363</v>
      </c>
      <c r="C466" s="837">
        <v>46081</v>
      </c>
      <c r="D466" t="s">
        <v>359</v>
      </c>
      <c r="E466">
        <v>20</v>
      </c>
      <c r="F466">
        <v>22</v>
      </c>
      <c r="G466">
        <v>7</v>
      </c>
      <c r="H466">
        <v>0</v>
      </c>
      <c r="I466">
        <v>0</v>
      </c>
      <c r="J466">
        <v>1</v>
      </c>
      <c r="K466">
        <v>6</v>
      </c>
    </row>
    <row r="467" spans="2:11">
      <c r="B467" t="s">
        <v>363</v>
      </c>
      <c r="C467" s="837">
        <v>46081</v>
      </c>
      <c r="D467" t="s">
        <v>172</v>
      </c>
      <c r="E467">
        <v>0</v>
      </c>
      <c r="F467">
        <v>0</v>
      </c>
      <c r="G467">
        <v>0</v>
      </c>
      <c r="H467">
        <v>0</v>
      </c>
      <c r="I467">
        <v>0</v>
      </c>
      <c r="J467">
        <v>0</v>
      </c>
      <c r="K467">
        <v>0</v>
      </c>
    </row>
    <row r="468" spans="2:11">
      <c r="B468" t="s">
        <v>363</v>
      </c>
      <c r="C468" s="837">
        <v>46081</v>
      </c>
      <c r="D468" t="s">
        <v>0</v>
      </c>
      <c r="E468">
        <v>0</v>
      </c>
      <c r="F468">
        <v>1</v>
      </c>
      <c r="G468">
        <v>1</v>
      </c>
      <c r="H468">
        <v>0</v>
      </c>
      <c r="I468">
        <v>0</v>
      </c>
      <c r="J468">
        <v>0</v>
      </c>
      <c r="K468">
        <v>1</v>
      </c>
    </row>
    <row r="469" spans="2:11">
      <c r="B469" t="s">
        <v>363</v>
      </c>
      <c r="C469" s="837">
        <v>46081</v>
      </c>
      <c r="D469" t="s">
        <v>364</v>
      </c>
      <c r="E469">
        <v>6</v>
      </c>
      <c r="F469">
        <v>7</v>
      </c>
      <c r="G469">
        <v>6</v>
      </c>
      <c r="H469">
        <v>5</v>
      </c>
      <c r="I469">
        <v>0</v>
      </c>
      <c r="J469">
        <v>0</v>
      </c>
      <c r="K469">
        <v>1</v>
      </c>
    </row>
    <row r="470" spans="2:11">
      <c r="B470" t="s">
        <v>362</v>
      </c>
      <c r="C470" s="837">
        <v>46112</v>
      </c>
      <c r="D470" t="s">
        <v>357</v>
      </c>
      <c r="E470">
        <v>9</v>
      </c>
      <c r="F470">
        <v>9</v>
      </c>
      <c r="G470">
        <v>0</v>
      </c>
      <c r="H470">
        <v>0</v>
      </c>
      <c r="I470">
        <v>0</v>
      </c>
      <c r="J470">
        <v>0</v>
      </c>
      <c r="K470">
        <v>0</v>
      </c>
    </row>
    <row r="471" spans="2:11">
      <c r="B471" t="s">
        <v>362</v>
      </c>
      <c r="C471" s="837">
        <v>46112</v>
      </c>
      <c r="D471" t="s">
        <v>358</v>
      </c>
      <c r="E471">
        <v>1</v>
      </c>
      <c r="F471">
        <v>3</v>
      </c>
      <c r="G471">
        <v>0</v>
      </c>
      <c r="H471">
        <v>0</v>
      </c>
      <c r="I471">
        <v>0</v>
      </c>
      <c r="J471">
        <v>0</v>
      </c>
      <c r="K471">
        <v>0</v>
      </c>
    </row>
    <row r="472" spans="2:11">
      <c r="B472" t="s">
        <v>362</v>
      </c>
      <c r="C472" s="837">
        <v>46112</v>
      </c>
      <c r="D472" t="s">
        <v>359</v>
      </c>
      <c r="E472">
        <v>0</v>
      </c>
      <c r="F472">
        <v>0</v>
      </c>
      <c r="G472">
        <v>0</v>
      </c>
      <c r="H472">
        <v>0</v>
      </c>
      <c r="I472">
        <v>0</v>
      </c>
      <c r="J472">
        <v>0</v>
      </c>
      <c r="K472">
        <v>0</v>
      </c>
    </row>
    <row r="473" spans="2:11">
      <c r="B473" t="s">
        <v>362</v>
      </c>
      <c r="C473" s="837">
        <v>46112</v>
      </c>
      <c r="D473" t="s">
        <v>0</v>
      </c>
      <c r="E473">
        <v>0</v>
      </c>
      <c r="F473">
        <v>0</v>
      </c>
      <c r="G473">
        <v>3</v>
      </c>
      <c r="H473">
        <v>0</v>
      </c>
      <c r="I473">
        <v>0</v>
      </c>
      <c r="J473">
        <v>0</v>
      </c>
      <c r="K473">
        <v>3</v>
      </c>
    </row>
    <row r="474" spans="2:11">
      <c r="B474" t="s">
        <v>362</v>
      </c>
      <c r="C474" s="837">
        <v>46112</v>
      </c>
      <c r="D474" t="s">
        <v>364</v>
      </c>
      <c r="E474">
        <v>0</v>
      </c>
      <c r="F474">
        <v>1</v>
      </c>
      <c r="G474">
        <v>0</v>
      </c>
      <c r="H474">
        <v>0</v>
      </c>
      <c r="I474">
        <v>0</v>
      </c>
      <c r="J474">
        <v>0</v>
      </c>
      <c r="K474">
        <v>0</v>
      </c>
    </row>
    <row r="475" spans="2:11">
      <c r="B475" t="s">
        <v>363</v>
      </c>
      <c r="C475" s="837">
        <v>46112</v>
      </c>
      <c r="D475" t="s">
        <v>357</v>
      </c>
      <c r="E475">
        <v>65</v>
      </c>
      <c r="F475">
        <v>64</v>
      </c>
      <c r="G475">
        <v>68</v>
      </c>
      <c r="H475">
        <v>8</v>
      </c>
      <c r="I475">
        <v>19</v>
      </c>
      <c r="J475">
        <v>6</v>
      </c>
      <c r="K475">
        <v>35</v>
      </c>
    </row>
    <row r="476" spans="2:11">
      <c r="B476" t="s">
        <v>363</v>
      </c>
      <c r="C476" s="837">
        <v>46112</v>
      </c>
      <c r="D476" t="s">
        <v>358</v>
      </c>
      <c r="E476">
        <v>129</v>
      </c>
      <c r="F476">
        <v>138</v>
      </c>
      <c r="G476">
        <v>44</v>
      </c>
      <c r="H476">
        <v>4</v>
      </c>
      <c r="I476">
        <v>0</v>
      </c>
      <c r="J476">
        <v>3</v>
      </c>
      <c r="K476">
        <v>37</v>
      </c>
    </row>
    <row r="477" spans="2:11">
      <c r="B477" t="s">
        <v>363</v>
      </c>
      <c r="C477" s="837">
        <v>46112</v>
      </c>
      <c r="D477" t="s">
        <v>359</v>
      </c>
      <c r="E477">
        <v>20</v>
      </c>
      <c r="F477">
        <v>35</v>
      </c>
      <c r="G477">
        <v>13</v>
      </c>
      <c r="H477">
        <v>3</v>
      </c>
      <c r="I477">
        <v>0</v>
      </c>
      <c r="J477">
        <v>3</v>
      </c>
      <c r="K477">
        <v>7</v>
      </c>
    </row>
    <row r="478" spans="2:11">
      <c r="B478" t="s">
        <v>363</v>
      </c>
      <c r="C478" s="837">
        <v>46112</v>
      </c>
      <c r="D478" t="s">
        <v>172</v>
      </c>
      <c r="E478">
        <v>0</v>
      </c>
      <c r="F478">
        <v>0</v>
      </c>
      <c r="G478">
        <v>0</v>
      </c>
      <c r="H478">
        <v>0</v>
      </c>
      <c r="I478">
        <v>0</v>
      </c>
      <c r="J478">
        <v>0</v>
      </c>
      <c r="K478">
        <v>0</v>
      </c>
    </row>
    <row r="479" spans="2:11">
      <c r="B479" t="s">
        <v>363</v>
      </c>
      <c r="C479" s="837">
        <v>46112</v>
      </c>
      <c r="D479" t="s">
        <v>0</v>
      </c>
      <c r="E479">
        <v>0</v>
      </c>
      <c r="F479">
        <v>0</v>
      </c>
      <c r="G479">
        <v>2</v>
      </c>
      <c r="H479">
        <v>0</v>
      </c>
      <c r="I479">
        <v>0</v>
      </c>
      <c r="J479">
        <v>0</v>
      </c>
      <c r="K479">
        <v>2</v>
      </c>
    </row>
    <row r="480" spans="2:11">
      <c r="B480" t="s">
        <v>363</v>
      </c>
      <c r="C480" s="837">
        <v>46112</v>
      </c>
      <c r="D480" t="s">
        <v>364</v>
      </c>
      <c r="E480">
        <v>13</v>
      </c>
      <c r="F480">
        <v>11</v>
      </c>
      <c r="G480">
        <v>18</v>
      </c>
      <c r="H480">
        <v>15</v>
      </c>
      <c r="I480">
        <v>0</v>
      </c>
      <c r="J480">
        <v>0</v>
      </c>
      <c r="K480">
        <v>3</v>
      </c>
    </row>
  </sheetData>
  <hyperlinks>
    <hyperlink ref="B19" r:id="rId2" tooltip="i526_i526E_r_cob_pref_fy2026_q1_v1.xlsx" display="https://www.uscis.gov/sites/default/files/document/reports/i526_i526E_r_cob_pref_fy2026_q1_v1.xlsx" xr:uid="{28B06FB0-C83D-4CFC-9A99-34BF0D66FD40}"/>
    <hyperlink ref="B20" r:id="rId3" tooltip="i526_i526E_r_cob_pref_fy2026_q2_v1.xlsx" display="https://www.uscis.gov/sites/default/files/document/data/i526_i526E_r_cob_pref_fy2026_q2_v1.xlsx" xr:uid="{5278BEA1-4B35-4633-AAD9-DA9067762809}"/>
  </hyperlinks>
  <pageMargins left="0.7" right="0.7" top="0.75" bottom="0.75" header="0.3" footer="0.3"/>
  <pageSetup orientation="portrait"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244DC-D73C-48A1-B300-E5C3C49DA5C3}">
  <dimension ref="A1:AN617"/>
  <sheetViews>
    <sheetView topLeftCell="A161" zoomScale="66" zoomScaleNormal="66" workbookViewId="0">
      <selection activeCell="H187" sqref="H187"/>
    </sheetView>
  </sheetViews>
  <sheetFormatPr defaultRowHeight="14.25"/>
  <cols>
    <col min="1" max="1" width="4.375" customWidth="1"/>
    <col min="2" max="2" width="21.75" customWidth="1"/>
    <col min="3" max="3" width="10.5" customWidth="1"/>
    <col min="4" max="4" width="10.375" customWidth="1"/>
    <col min="5" max="5" width="11.75" customWidth="1"/>
    <col min="6" max="6" width="9.375" customWidth="1"/>
    <col min="7" max="7" width="11.5" customWidth="1"/>
    <col min="8" max="8" width="9" customWidth="1"/>
    <col min="9" max="9" width="10.125" customWidth="1"/>
    <col min="10" max="10" width="9.5" bestFit="1" customWidth="1"/>
    <col min="11" max="11" width="12.125" customWidth="1"/>
    <col min="12" max="12" width="10.25" customWidth="1"/>
    <col min="13" max="13" width="10" customWidth="1"/>
    <col min="14" max="14" width="15.5" customWidth="1"/>
    <col min="15" max="15" width="15.375" customWidth="1"/>
  </cols>
  <sheetData>
    <row r="1" spans="1:15" ht="23.25">
      <c r="B1" s="104" t="s">
        <v>372</v>
      </c>
    </row>
    <row r="2" spans="1:15" ht="15">
      <c r="B2" s="290" t="s">
        <v>373</v>
      </c>
    </row>
    <row r="3" spans="1:15" ht="13.5" customHeight="1">
      <c r="B3" s="104"/>
    </row>
    <row r="5" spans="1:15" ht="15">
      <c r="A5" t="s">
        <v>36</v>
      </c>
      <c r="B5" s="291" t="s">
        <v>374</v>
      </c>
      <c r="C5" s="292"/>
      <c r="D5" s="292"/>
      <c r="E5" s="292"/>
      <c r="F5" s="292"/>
      <c r="G5" s="292"/>
      <c r="H5" s="292"/>
      <c r="I5" s="292"/>
      <c r="J5" s="292"/>
      <c r="K5" s="292"/>
    </row>
    <row r="6" spans="1:15">
      <c r="C6" s="293"/>
      <c r="D6" s="293"/>
      <c r="E6" s="293"/>
      <c r="F6" s="293"/>
      <c r="G6" s="293"/>
      <c r="H6" s="293"/>
      <c r="I6" s="293"/>
      <c r="J6" s="293"/>
    </row>
    <row r="7" spans="1:15" ht="15">
      <c r="B7" t="s">
        <v>375</v>
      </c>
      <c r="C7" s="124" t="s">
        <v>332</v>
      </c>
      <c r="D7" s="124" t="s">
        <v>334</v>
      </c>
      <c r="E7" s="124" t="s">
        <v>333</v>
      </c>
      <c r="F7" s="124" t="s">
        <v>4</v>
      </c>
      <c r="G7" s="124" t="s">
        <v>361</v>
      </c>
      <c r="H7" s="124" t="s">
        <v>5</v>
      </c>
      <c r="I7" s="124" t="s">
        <v>6</v>
      </c>
      <c r="J7" s="124" t="s">
        <v>376</v>
      </c>
      <c r="K7" s="294" t="s">
        <v>377</v>
      </c>
      <c r="N7" s="294" t="s">
        <v>340</v>
      </c>
    </row>
    <row r="8" spans="1:15">
      <c r="B8" t="s">
        <v>378</v>
      </c>
      <c r="C8" s="3">
        <v>87</v>
      </c>
      <c r="D8" s="3">
        <v>19</v>
      </c>
      <c r="E8" s="3">
        <v>102</v>
      </c>
      <c r="F8" s="3">
        <v>5480</v>
      </c>
      <c r="G8" s="3">
        <v>91</v>
      </c>
      <c r="H8" s="3">
        <v>86</v>
      </c>
      <c r="I8" s="3">
        <v>309</v>
      </c>
      <c r="J8" s="3">
        <v>6174</v>
      </c>
      <c r="K8" s="2">
        <f>J8-F8-H8</f>
        <v>608</v>
      </c>
      <c r="N8" s="253" t="s">
        <v>379</v>
      </c>
      <c r="O8" s="5"/>
    </row>
    <row r="9" spans="1:15">
      <c r="B9" t="s">
        <v>380</v>
      </c>
      <c r="C9" s="3">
        <v>127</v>
      </c>
      <c r="D9" s="3">
        <v>50</v>
      </c>
      <c r="E9" s="3">
        <v>110</v>
      </c>
      <c r="F9" s="3">
        <v>9722</v>
      </c>
      <c r="G9" s="3">
        <v>106</v>
      </c>
      <c r="H9" s="3">
        <v>99</v>
      </c>
      <c r="I9" s="3">
        <v>355</v>
      </c>
      <c r="J9" s="3">
        <v>10569</v>
      </c>
      <c r="K9" s="2">
        <f t="shared" ref="K9:K14" si="0">J9-F9-H9</f>
        <v>748</v>
      </c>
      <c r="N9" s="253" t="s">
        <v>381</v>
      </c>
      <c r="O9" s="5"/>
    </row>
    <row r="10" spans="1:15">
      <c r="B10" t="s">
        <v>20</v>
      </c>
      <c r="C10" s="3">
        <v>170</v>
      </c>
      <c r="D10" s="3">
        <v>229</v>
      </c>
      <c r="E10" s="3">
        <v>167</v>
      </c>
      <c r="F10" s="3">
        <v>13530</v>
      </c>
      <c r="G10" s="3">
        <v>289</v>
      </c>
      <c r="H10" s="3">
        <v>239</v>
      </c>
      <c r="I10" s="3">
        <v>1329</v>
      </c>
      <c r="J10" s="3">
        <v>15953</v>
      </c>
      <c r="K10" s="2">
        <f t="shared" si="0"/>
        <v>2184</v>
      </c>
      <c r="L10" s="2">
        <f>SUM(F8:F10)</f>
        <v>28732</v>
      </c>
      <c r="M10" s="2"/>
      <c r="N10" s="253" t="s">
        <v>382</v>
      </c>
      <c r="O10" s="5"/>
    </row>
    <row r="11" spans="1:15">
      <c r="B11" t="s">
        <v>21</v>
      </c>
      <c r="C11" s="3">
        <v>143</v>
      </c>
      <c r="D11" s="3">
        <v>151</v>
      </c>
      <c r="E11" s="3">
        <v>156</v>
      </c>
      <c r="F11" s="3">
        <v>10948</v>
      </c>
      <c r="G11" s="3">
        <v>404</v>
      </c>
      <c r="H11" s="3">
        <v>354</v>
      </c>
      <c r="I11" s="3">
        <v>1117</v>
      </c>
      <c r="J11" s="3">
        <v>13273</v>
      </c>
      <c r="K11" s="2">
        <f t="shared" si="0"/>
        <v>1971</v>
      </c>
      <c r="N11" s="253" t="s">
        <v>383</v>
      </c>
      <c r="O11" s="5"/>
    </row>
    <row r="12" spans="1:15">
      <c r="B12" t="s">
        <v>22</v>
      </c>
      <c r="C12" s="3">
        <v>523</v>
      </c>
      <c r="D12" s="3">
        <v>136</v>
      </c>
      <c r="E12" s="3">
        <v>215</v>
      </c>
      <c r="F12" s="3">
        <v>8771</v>
      </c>
      <c r="G12" s="3">
        <v>182</v>
      </c>
      <c r="H12" s="3">
        <v>587</v>
      </c>
      <c r="I12" s="3">
        <v>950</v>
      </c>
      <c r="J12" s="3">
        <v>11364</v>
      </c>
      <c r="K12" s="2">
        <f t="shared" si="0"/>
        <v>2006</v>
      </c>
      <c r="N12" s="253" t="s">
        <v>384</v>
      </c>
      <c r="O12" s="5"/>
    </row>
    <row r="13" spans="1:15">
      <c r="B13" t="s">
        <v>23</v>
      </c>
      <c r="C13" s="3">
        <v>761</v>
      </c>
      <c r="D13" s="3">
        <v>173</v>
      </c>
      <c r="E13" s="3">
        <v>371</v>
      </c>
      <c r="F13" s="3">
        <v>2212</v>
      </c>
      <c r="G13" s="3">
        <v>255</v>
      </c>
      <c r="H13" s="3">
        <v>1167</v>
      </c>
      <c r="I13" s="3">
        <v>1159</v>
      </c>
      <c r="J13" s="3">
        <v>6098</v>
      </c>
      <c r="K13" s="2">
        <f t="shared" si="0"/>
        <v>2719</v>
      </c>
      <c r="L13" s="4"/>
      <c r="N13" s="253" t="s">
        <v>385</v>
      </c>
      <c r="O13" s="5"/>
    </row>
    <row r="14" spans="1:15">
      <c r="B14" t="s">
        <v>24</v>
      </c>
      <c r="C14" s="3">
        <v>395</v>
      </c>
      <c r="D14" s="3">
        <v>113</v>
      </c>
      <c r="E14" s="3">
        <v>548</v>
      </c>
      <c r="F14" s="3">
        <v>522</v>
      </c>
      <c r="G14" s="3">
        <v>237</v>
      </c>
      <c r="H14" s="3">
        <v>1027</v>
      </c>
      <c r="I14" s="3">
        <f>J14-SUM(C14:H14)</f>
        <v>1352</v>
      </c>
      <c r="J14" s="3">
        <v>4194</v>
      </c>
      <c r="K14" s="2">
        <f t="shared" si="0"/>
        <v>2645</v>
      </c>
      <c r="L14" s="4">
        <f>H14/J14</f>
        <v>0.24487362899380066</v>
      </c>
      <c r="N14" t="s">
        <v>386</v>
      </c>
    </row>
    <row r="15" spans="1:15">
      <c r="B15" t="s">
        <v>25</v>
      </c>
      <c r="C15" s="3">
        <v>253</v>
      </c>
      <c r="D15" s="3">
        <v>142</v>
      </c>
      <c r="E15" s="3">
        <v>421</v>
      </c>
      <c r="F15" s="3">
        <v>428</v>
      </c>
      <c r="G15" s="3">
        <v>231</v>
      </c>
      <c r="H15" s="3">
        <v>935</v>
      </c>
      <c r="I15" s="3">
        <v>1968</v>
      </c>
      <c r="J15" s="3">
        <v>4378</v>
      </c>
      <c r="K15" s="2">
        <f>J15-F15-H15</f>
        <v>3015</v>
      </c>
      <c r="L15" s="4"/>
      <c r="N15" t="s">
        <v>387</v>
      </c>
    </row>
    <row r="16" spans="1:15">
      <c r="B16" t="s">
        <v>26</v>
      </c>
      <c r="C16" s="3"/>
      <c r="D16" s="3"/>
      <c r="E16" s="3"/>
      <c r="F16" s="3"/>
      <c r="G16" s="3"/>
      <c r="H16" s="295">
        <v>268</v>
      </c>
      <c r="I16" s="3"/>
      <c r="J16" s="3">
        <f>SUM(C337:C340)</f>
        <v>814</v>
      </c>
      <c r="K16" s="2"/>
      <c r="N16" t="s">
        <v>379</v>
      </c>
    </row>
    <row r="17" spans="1:28">
      <c r="B17" t="s">
        <v>388</v>
      </c>
      <c r="F17" s="2">
        <v>9</v>
      </c>
      <c r="H17" s="295">
        <v>272</v>
      </c>
      <c r="I17" s="3">
        <v>315</v>
      </c>
      <c r="J17" s="3">
        <f>SUM(C341:C342)</f>
        <v>609</v>
      </c>
      <c r="K17" s="2">
        <f>J17-F17-H17</f>
        <v>328</v>
      </c>
      <c r="N17" t="s">
        <v>389</v>
      </c>
      <c r="O17" s="105" t="s">
        <v>278</v>
      </c>
    </row>
    <row r="18" spans="1:28">
      <c r="F18" s="4">
        <f>SUM(F8:F12)/SUM(J8:J12)</f>
        <v>0.84508049465403867</v>
      </c>
      <c r="J18" s="3"/>
      <c r="K18" s="3"/>
      <c r="N18" t="s">
        <v>390</v>
      </c>
    </row>
    <row r="19" spans="1:28">
      <c r="J19" s="3"/>
      <c r="K19" s="121"/>
    </row>
    <row r="20" spans="1:28" ht="15">
      <c r="B20" s="43" t="s">
        <v>391</v>
      </c>
      <c r="D20" t="s">
        <v>392</v>
      </c>
      <c r="E20" s="296"/>
      <c r="F20" s="296"/>
      <c r="J20" s="3"/>
    </row>
    <row r="21" spans="1:28" ht="29.45" customHeight="1">
      <c r="B21" t="s">
        <v>393</v>
      </c>
      <c r="C21" s="31" t="s">
        <v>332</v>
      </c>
      <c r="D21" s="30"/>
      <c r="E21" s="297" t="s">
        <v>394</v>
      </c>
      <c r="F21" s="297" t="s">
        <v>4</v>
      </c>
      <c r="G21" s="30"/>
      <c r="H21" s="31" t="s">
        <v>5</v>
      </c>
      <c r="I21" s="47" t="s">
        <v>395</v>
      </c>
      <c r="J21" s="298" t="s">
        <v>396</v>
      </c>
      <c r="K21" s="29" t="s">
        <v>397</v>
      </c>
    </row>
    <row r="22" spans="1:28">
      <c r="B22" t="s">
        <v>21</v>
      </c>
      <c r="C22" s="299">
        <v>0.87</v>
      </c>
      <c r="E22" s="300">
        <v>0.82</v>
      </c>
      <c r="F22" s="299">
        <v>0.83</v>
      </c>
      <c r="H22" s="299">
        <v>0.66</v>
      </c>
      <c r="J22" s="301">
        <v>0.82</v>
      </c>
      <c r="K22" s="302">
        <v>9367</v>
      </c>
    </row>
    <row r="23" spans="1:28">
      <c r="B23" t="s">
        <v>24</v>
      </c>
      <c r="C23" s="299">
        <v>0.9</v>
      </c>
      <c r="E23" s="299">
        <v>0.98</v>
      </c>
      <c r="F23" s="299">
        <v>0.78</v>
      </c>
      <c r="H23" s="299">
        <v>0.9</v>
      </c>
      <c r="J23" s="303">
        <v>0.81</v>
      </c>
      <c r="K23" s="302">
        <v>4673</v>
      </c>
    </row>
    <row r="24" spans="1:28">
      <c r="B24" t="s">
        <v>25</v>
      </c>
      <c r="C24" s="299">
        <v>0.88</v>
      </c>
      <c r="E24" s="300">
        <v>0.91</v>
      </c>
      <c r="F24" s="299">
        <v>0.54</v>
      </c>
      <c r="H24" s="299">
        <v>0.9</v>
      </c>
      <c r="J24" s="301">
        <v>0.75</v>
      </c>
      <c r="K24" s="3">
        <v>3421</v>
      </c>
      <c r="N24" s="105"/>
    </row>
    <row r="25" spans="1:28">
      <c r="B25" t="s">
        <v>26</v>
      </c>
      <c r="C25" s="299"/>
      <c r="E25" s="300"/>
      <c r="H25" s="299"/>
      <c r="J25" s="301">
        <v>0.78700000000000003</v>
      </c>
      <c r="K25" s="3">
        <v>3048</v>
      </c>
      <c r="N25" s="105"/>
    </row>
    <row r="26" spans="1:28">
      <c r="B26" t="s">
        <v>27</v>
      </c>
      <c r="C26" s="299"/>
      <c r="E26" s="300"/>
      <c r="F26" s="299">
        <v>0.28999999999999998</v>
      </c>
      <c r="H26" s="299">
        <v>0.59</v>
      </c>
      <c r="J26" s="301">
        <v>0.49</v>
      </c>
      <c r="K26" s="3">
        <v>1203</v>
      </c>
      <c r="N26" s="105"/>
    </row>
    <row r="27" spans="1:28">
      <c r="B27" t="s">
        <v>28</v>
      </c>
      <c r="C27" s="3"/>
      <c r="D27" s="3"/>
      <c r="E27" s="3"/>
      <c r="F27" s="299">
        <v>0.28999999999999998</v>
      </c>
      <c r="H27" s="299">
        <v>0.76</v>
      </c>
      <c r="J27" s="299">
        <v>0.59799999999999998</v>
      </c>
      <c r="K27" s="3">
        <v>3563</v>
      </c>
    </row>
    <row r="28" spans="1:28">
      <c r="B28" t="s">
        <v>398</v>
      </c>
      <c r="C28" s="3"/>
      <c r="D28" s="3"/>
      <c r="E28" s="3"/>
      <c r="F28" s="299">
        <v>0.4</v>
      </c>
      <c r="G28" s="3"/>
      <c r="H28" s="299">
        <v>0.82</v>
      </c>
      <c r="J28" s="299">
        <v>0.78</v>
      </c>
      <c r="K28" s="3">
        <v>2956</v>
      </c>
    </row>
    <row r="29" spans="1:28">
      <c r="C29" s="3"/>
      <c r="D29" s="3"/>
      <c r="E29" s="3"/>
      <c r="F29" s="299"/>
      <c r="G29" s="3"/>
      <c r="H29" s="299"/>
      <c r="I29" s="4"/>
      <c r="J29" s="299"/>
      <c r="K29" s="3"/>
    </row>
    <row r="30" spans="1:28" ht="15">
      <c r="B30" s="291" t="s">
        <v>399</v>
      </c>
      <c r="C30" s="292"/>
      <c r="D30" s="292"/>
      <c r="E30" s="292"/>
      <c r="F30" s="292"/>
      <c r="G30" s="292"/>
      <c r="H30" s="292"/>
      <c r="I30" s="292"/>
      <c r="J30" s="292"/>
      <c r="K30" s="292"/>
      <c r="AB30" s="43"/>
    </row>
    <row r="32" spans="1:28" ht="15">
      <c r="A32" t="s">
        <v>36</v>
      </c>
      <c r="B32" s="304" t="s">
        <v>400</v>
      </c>
      <c r="C32" s="305"/>
      <c r="D32" s="305"/>
      <c r="E32" s="305"/>
      <c r="F32" s="305"/>
      <c r="G32" s="305"/>
      <c r="H32" s="305"/>
      <c r="I32" s="305"/>
      <c r="J32" s="305"/>
      <c r="K32" s="305"/>
      <c r="M32" s="306"/>
      <c r="N32" s="306"/>
    </row>
    <row r="33" spans="2:40" ht="15">
      <c r="B33" s="43"/>
      <c r="M33" s="306"/>
      <c r="N33" s="306"/>
    </row>
    <row r="34" spans="2:40" ht="15">
      <c r="B34" s="43" t="s">
        <v>401</v>
      </c>
      <c r="L34" s="307" t="s">
        <v>402</v>
      </c>
      <c r="M34" s="306"/>
      <c r="AB34" s="308"/>
      <c r="AC34" s="308"/>
      <c r="AD34" s="308"/>
      <c r="AE34" s="308"/>
      <c r="AF34" s="308"/>
      <c r="AG34" s="308"/>
      <c r="AH34" s="308"/>
      <c r="AI34" s="308"/>
      <c r="AJ34" s="308"/>
      <c r="AK34" s="308"/>
      <c r="AL34" s="308"/>
      <c r="AM34" s="308"/>
      <c r="AN34" s="308"/>
    </row>
    <row r="35" spans="2:40" ht="15">
      <c r="B35" s="43"/>
      <c r="C35" t="s">
        <v>4</v>
      </c>
      <c r="D35" t="s">
        <v>5</v>
      </c>
      <c r="E35" t="s">
        <v>6</v>
      </c>
      <c r="F35" t="s">
        <v>3</v>
      </c>
      <c r="L35" s="309" t="s">
        <v>403</v>
      </c>
      <c r="M35" s="306"/>
      <c r="AB35" s="308"/>
      <c r="AC35" s="308"/>
      <c r="AD35" s="308"/>
      <c r="AE35" s="308"/>
      <c r="AF35" s="308"/>
      <c r="AG35" s="308"/>
      <c r="AH35" s="308"/>
      <c r="AI35" s="308"/>
      <c r="AJ35" s="308"/>
      <c r="AK35" s="308"/>
      <c r="AL35" s="308"/>
      <c r="AM35" s="308"/>
      <c r="AN35" s="308"/>
    </row>
    <row r="36" spans="2:40">
      <c r="B36" t="s">
        <v>80</v>
      </c>
      <c r="C36">
        <v>6</v>
      </c>
      <c r="D36">
        <v>0</v>
      </c>
      <c r="E36">
        <v>2</v>
      </c>
      <c r="F36">
        <f>SUM(C36:E36)</f>
        <v>8</v>
      </c>
      <c r="L36" s="309" t="s">
        <v>404</v>
      </c>
      <c r="M36" s="306"/>
      <c r="AB36" s="308"/>
      <c r="AC36" s="308"/>
      <c r="AD36" s="308"/>
      <c r="AE36" s="308"/>
      <c r="AF36" s="308"/>
      <c r="AG36" s="308"/>
      <c r="AH36" s="308"/>
      <c r="AI36" s="308"/>
      <c r="AJ36" s="308"/>
      <c r="AK36" s="308"/>
      <c r="AL36" s="308"/>
      <c r="AM36" s="308"/>
      <c r="AN36" s="308"/>
    </row>
    <row r="37" spans="2:40">
      <c r="B37" s="310" t="s">
        <v>81</v>
      </c>
      <c r="C37" s="311">
        <v>1</v>
      </c>
      <c r="D37" s="311">
        <v>0</v>
      </c>
      <c r="E37" s="311">
        <v>0</v>
      </c>
      <c r="F37" s="310">
        <f t="shared" ref="F37:F66" si="1">SUM(C37:E37)</f>
        <v>1</v>
      </c>
      <c r="L37" s="309" t="s">
        <v>405</v>
      </c>
      <c r="M37" s="306"/>
      <c r="AB37" s="308"/>
      <c r="AC37" s="308"/>
      <c r="AD37" s="308"/>
      <c r="AE37" s="308"/>
      <c r="AF37" s="308"/>
      <c r="AG37" s="308"/>
      <c r="AH37" s="308"/>
      <c r="AI37" s="308"/>
      <c r="AJ37" s="308"/>
      <c r="AK37" s="308"/>
      <c r="AL37" s="308"/>
      <c r="AM37" s="308"/>
      <c r="AN37" s="308"/>
    </row>
    <row r="38" spans="2:40">
      <c r="B38" t="s">
        <v>82</v>
      </c>
      <c r="C38" s="2">
        <v>1</v>
      </c>
      <c r="D38" s="2">
        <v>0</v>
      </c>
      <c r="E38" s="2">
        <v>0</v>
      </c>
      <c r="F38">
        <f t="shared" si="1"/>
        <v>1</v>
      </c>
      <c r="L38" s="309" t="s">
        <v>406</v>
      </c>
      <c r="M38" s="306"/>
      <c r="AB38" s="308"/>
      <c r="AC38" s="308"/>
      <c r="AD38" s="308"/>
      <c r="AE38" s="308"/>
      <c r="AF38" s="308"/>
      <c r="AG38" s="308"/>
      <c r="AH38" s="308"/>
      <c r="AI38" s="308"/>
      <c r="AJ38" s="308"/>
      <c r="AK38" s="308"/>
      <c r="AL38" s="308"/>
      <c r="AM38" s="308"/>
      <c r="AN38" s="308"/>
    </row>
    <row r="39" spans="2:40">
      <c r="B39" t="s">
        <v>83</v>
      </c>
      <c r="C39" s="2">
        <v>3</v>
      </c>
      <c r="D39" s="2">
        <v>0</v>
      </c>
      <c r="E39" s="2">
        <v>0</v>
      </c>
      <c r="F39">
        <f t="shared" si="1"/>
        <v>3</v>
      </c>
      <c r="L39" s="312" t="s">
        <v>407</v>
      </c>
      <c r="M39" s="306"/>
      <c r="AB39" s="308"/>
      <c r="AC39" s="308"/>
      <c r="AD39" s="308"/>
      <c r="AE39" s="308"/>
      <c r="AF39" s="308"/>
      <c r="AG39" s="308"/>
      <c r="AH39" s="308"/>
      <c r="AI39" s="308"/>
      <c r="AJ39" s="308"/>
      <c r="AK39" s="308"/>
      <c r="AL39" s="308"/>
      <c r="AM39" s="308"/>
      <c r="AN39" s="308"/>
    </row>
    <row r="40" spans="2:40">
      <c r="B40" t="s">
        <v>84</v>
      </c>
      <c r="C40" s="2">
        <v>28</v>
      </c>
      <c r="D40" s="2">
        <v>0</v>
      </c>
      <c r="E40" s="2">
        <v>4</v>
      </c>
      <c r="F40">
        <f t="shared" si="1"/>
        <v>32</v>
      </c>
      <c r="L40" s="313" t="s">
        <v>408</v>
      </c>
      <c r="M40" s="306"/>
      <c r="AB40" s="308"/>
      <c r="AC40" s="308"/>
      <c r="AD40" s="308"/>
      <c r="AE40" s="308"/>
      <c r="AF40" s="308"/>
      <c r="AG40" s="308"/>
      <c r="AH40" s="308"/>
      <c r="AI40" s="308"/>
      <c r="AJ40" s="308"/>
      <c r="AK40" s="308"/>
      <c r="AL40" s="308"/>
      <c r="AM40" s="308"/>
      <c r="AN40" s="308"/>
    </row>
    <row r="41" spans="2:40">
      <c r="B41" s="310" t="s">
        <v>85</v>
      </c>
      <c r="C41" s="311">
        <v>33</v>
      </c>
      <c r="D41" s="311">
        <v>0</v>
      </c>
      <c r="E41" s="311">
        <v>1</v>
      </c>
      <c r="F41" s="310">
        <f t="shared" si="1"/>
        <v>34</v>
      </c>
      <c r="L41" s="105" t="s">
        <v>269</v>
      </c>
      <c r="M41" s="306"/>
      <c r="N41" s="313"/>
      <c r="AB41" s="308"/>
      <c r="AC41" s="308"/>
      <c r="AD41" s="308"/>
      <c r="AE41" s="308"/>
      <c r="AF41" s="308"/>
      <c r="AG41" s="308"/>
      <c r="AH41" s="308"/>
      <c r="AI41" s="308"/>
      <c r="AJ41" s="308"/>
      <c r="AK41" s="308"/>
      <c r="AL41" s="308"/>
      <c r="AM41" s="308"/>
      <c r="AN41" s="308"/>
    </row>
    <row r="42" spans="2:40">
      <c r="B42" t="s">
        <v>86</v>
      </c>
      <c r="C42" s="2">
        <v>4</v>
      </c>
      <c r="D42" s="2">
        <v>0</v>
      </c>
      <c r="E42" s="2">
        <v>0</v>
      </c>
      <c r="F42">
        <f t="shared" si="1"/>
        <v>4</v>
      </c>
      <c r="M42" s="306"/>
      <c r="N42" s="313"/>
      <c r="AB42" s="308"/>
      <c r="AC42" s="308"/>
      <c r="AD42" s="308"/>
      <c r="AE42" s="308"/>
      <c r="AF42" s="308"/>
      <c r="AG42" s="308"/>
      <c r="AH42" s="308"/>
      <c r="AI42" s="308"/>
      <c r="AJ42" s="308"/>
      <c r="AK42" s="308"/>
      <c r="AL42" s="308"/>
      <c r="AM42" s="308"/>
      <c r="AN42" s="308"/>
    </row>
    <row r="43" spans="2:40">
      <c r="B43" t="s">
        <v>87</v>
      </c>
      <c r="C43" s="2">
        <v>20</v>
      </c>
      <c r="D43" s="2">
        <v>0</v>
      </c>
      <c r="E43" s="2">
        <v>1</v>
      </c>
      <c r="F43">
        <f t="shared" si="1"/>
        <v>21</v>
      </c>
      <c r="M43" s="306"/>
      <c r="N43" s="313"/>
      <c r="AB43" s="308"/>
      <c r="AC43" s="308"/>
      <c r="AD43" s="308"/>
      <c r="AE43" s="308"/>
      <c r="AF43" s="308"/>
      <c r="AG43" s="308"/>
      <c r="AH43" s="308"/>
      <c r="AI43" s="308"/>
      <c r="AJ43" s="308"/>
      <c r="AK43" s="308"/>
      <c r="AL43" s="308"/>
      <c r="AM43" s="308"/>
      <c r="AN43" s="308"/>
    </row>
    <row r="44" spans="2:40">
      <c r="B44" t="s">
        <v>88</v>
      </c>
      <c r="C44" s="2">
        <v>79</v>
      </c>
      <c r="D44" s="2">
        <v>0</v>
      </c>
      <c r="E44" s="2">
        <v>2</v>
      </c>
      <c r="F44">
        <f t="shared" si="1"/>
        <v>81</v>
      </c>
      <c r="M44" s="306"/>
      <c r="N44" s="313"/>
      <c r="AB44" s="308"/>
      <c r="AC44" s="308"/>
      <c r="AD44" s="308"/>
      <c r="AE44" s="308"/>
      <c r="AF44" s="308"/>
      <c r="AG44" s="308"/>
      <c r="AH44" s="308"/>
      <c r="AI44" s="308"/>
      <c r="AJ44" s="308"/>
      <c r="AK44" s="308"/>
      <c r="AL44" s="308"/>
      <c r="AM44" s="308"/>
      <c r="AN44" s="308"/>
    </row>
    <row r="45" spans="2:40">
      <c r="B45" s="310" t="s">
        <v>90</v>
      </c>
      <c r="C45" s="311">
        <v>87</v>
      </c>
      <c r="D45" s="311">
        <v>0</v>
      </c>
      <c r="E45" s="311">
        <v>8</v>
      </c>
      <c r="F45" s="310">
        <f t="shared" si="1"/>
        <v>95</v>
      </c>
      <c r="M45" s="306"/>
      <c r="N45" s="313"/>
      <c r="AB45" s="308"/>
      <c r="AC45" s="308"/>
      <c r="AD45" s="308"/>
      <c r="AE45" s="308"/>
      <c r="AF45" s="308"/>
      <c r="AG45" s="308"/>
      <c r="AH45" s="308"/>
      <c r="AI45" s="308"/>
      <c r="AJ45" s="308"/>
      <c r="AK45" s="308"/>
      <c r="AL45" s="308"/>
      <c r="AM45" s="308"/>
      <c r="AN45" s="308"/>
    </row>
    <row r="46" spans="2:40">
      <c r="B46" t="s">
        <v>50</v>
      </c>
      <c r="C46" s="2">
        <v>94</v>
      </c>
      <c r="D46" s="2">
        <v>0</v>
      </c>
      <c r="E46" s="2">
        <v>4</v>
      </c>
      <c r="F46">
        <f t="shared" si="1"/>
        <v>98</v>
      </c>
      <c r="M46" s="306"/>
      <c r="N46" s="313"/>
      <c r="AB46" s="308"/>
      <c r="AC46" s="308"/>
      <c r="AD46" s="308"/>
      <c r="AE46" s="308"/>
      <c r="AF46" s="308"/>
      <c r="AG46" s="308"/>
      <c r="AH46" s="308"/>
      <c r="AI46" s="308"/>
      <c r="AJ46" s="308"/>
      <c r="AK46" s="308"/>
      <c r="AL46" s="308"/>
      <c r="AM46" s="308"/>
      <c r="AN46" s="308"/>
    </row>
    <row r="47" spans="2:40">
      <c r="B47" t="s">
        <v>52</v>
      </c>
      <c r="C47" s="2">
        <v>430</v>
      </c>
      <c r="D47" s="2">
        <v>1</v>
      </c>
      <c r="E47" s="2">
        <v>9</v>
      </c>
      <c r="F47">
        <f t="shared" si="1"/>
        <v>440</v>
      </c>
      <c r="M47" s="306"/>
      <c r="N47" s="313"/>
      <c r="AB47" s="308"/>
      <c r="AC47" s="308"/>
      <c r="AD47" s="308"/>
      <c r="AE47" s="308"/>
      <c r="AF47" s="308"/>
      <c r="AG47" s="308"/>
      <c r="AH47" s="308"/>
      <c r="AI47" s="308"/>
      <c r="AJ47" s="308"/>
      <c r="AK47" s="308"/>
      <c r="AL47" s="308"/>
      <c r="AM47" s="308"/>
      <c r="AN47" s="308"/>
    </row>
    <row r="48" spans="2:40">
      <c r="B48" t="s">
        <v>54</v>
      </c>
      <c r="C48" s="2">
        <v>243</v>
      </c>
      <c r="D48" s="2">
        <v>0</v>
      </c>
      <c r="E48" s="2">
        <v>9</v>
      </c>
      <c r="F48">
        <f t="shared" si="1"/>
        <v>252</v>
      </c>
      <c r="M48" s="306"/>
      <c r="N48" s="313"/>
      <c r="AB48" s="308"/>
      <c r="AC48" s="308"/>
      <c r="AD48" s="308"/>
      <c r="AE48" s="308"/>
      <c r="AF48" s="308"/>
      <c r="AG48" s="308"/>
      <c r="AH48" s="308"/>
      <c r="AI48" s="308"/>
      <c r="AJ48" s="308"/>
      <c r="AK48" s="308"/>
      <c r="AL48" s="308"/>
      <c r="AM48" s="308"/>
      <c r="AN48" s="308"/>
    </row>
    <row r="49" spans="2:40">
      <c r="B49" s="310" t="s">
        <v>56</v>
      </c>
      <c r="C49" s="311">
        <v>326</v>
      </c>
      <c r="D49" s="311">
        <v>1</v>
      </c>
      <c r="E49" s="311">
        <v>23</v>
      </c>
      <c r="F49" s="310">
        <f t="shared" si="1"/>
        <v>350</v>
      </c>
      <c r="M49" s="306"/>
      <c r="N49" s="313"/>
      <c r="AB49" s="308"/>
      <c r="AC49" s="308"/>
      <c r="AD49" s="308"/>
      <c r="AE49" s="308"/>
      <c r="AF49" s="308"/>
      <c r="AG49" s="308"/>
      <c r="AH49" s="308"/>
      <c r="AI49" s="308"/>
      <c r="AJ49" s="308"/>
      <c r="AK49" s="308"/>
      <c r="AL49" s="308"/>
      <c r="AM49" s="308"/>
      <c r="AN49" s="308"/>
    </row>
    <row r="50" spans="2:40">
      <c r="B50" t="s">
        <v>58</v>
      </c>
      <c r="C50" s="2">
        <v>358</v>
      </c>
      <c r="D50" s="2">
        <v>0</v>
      </c>
      <c r="E50" s="2">
        <v>18</v>
      </c>
      <c r="F50">
        <f t="shared" si="1"/>
        <v>376</v>
      </c>
      <c r="M50" s="306"/>
      <c r="N50" s="313"/>
      <c r="AB50" s="308"/>
      <c r="AC50" s="308"/>
      <c r="AD50" s="308"/>
      <c r="AE50" s="308"/>
      <c r="AF50" s="308"/>
      <c r="AG50" s="308"/>
      <c r="AH50" s="308"/>
      <c r="AI50" s="308"/>
      <c r="AJ50" s="308"/>
      <c r="AK50" s="308"/>
      <c r="AL50" s="308"/>
      <c r="AM50" s="308"/>
      <c r="AN50" s="308"/>
    </row>
    <row r="51" spans="2:40">
      <c r="B51" t="s">
        <v>60</v>
      </c>
      <c r="C51" s="2">
        <v>154</v>
      </c>
      <c r="D51" s="2">
        <v>0</v>
      </c>
      <c r="E51" s="2">
        <v>4</v>
      </c>
      <c r="F51">
        <f t="shared" si="1"/>
        <v>158</v>
      </c>
      <c r="M51" s="306"/>
      <c r="N51" s="313"/>
      <c r="AB51" s="308"/>
      <c r="AC51" s="308"/>
      <c r="AD51" s="308"/>
      <c r="AE51" s="308"/>
      <c r="AF51" s="308"/>
      <c r="AG51" s="308"/>
      <c r="AH51" s="308"/>
      <c r="AI51" s="308"/>
      <c r="AJ51" s="308"/>
      <c r="AK51" s="308"/>
      <c r="AL51" s="308"/>
      <c r="AM51" s="308"/>
      <c r="AN51" s="308"/>
    </row>
    <row r="52" spans="2:40">
      <c r="B52" t="s">
        <v>62</v>
      </c>
      <c r="C52" s="2">
        <v>277</v>
      </c>
      <c r="D52" s="2">
        <v>3</v>
      </c>
      <c r="E52" s="2">
        <v>22</v>
      </c>
      <c r="F52">
        <f t="shared" si="1"/>
        <v>302</v>
      </c>
      <c r="J52" s="288" t="s">
        <v>409</v>
      </c>
      <c r="AB52" s="308"/>
      <c r="AC52" s="308"/>
      <c r="AD52" s="308"/>
      <c r="AE52" s="308"/>
      <c r="AF52" s="308"/>
      <c r="AG52" s="308"/>
      <c r="AH52" s="308"/>
      <c r="AI52" s="308"/>
      <c r="AJ52" s="308"/>
      <c r="AK52" s="308"/>
      <c r="AL52" s="308"/>
      <c r="AM52" s="308"/>
      <c r="AN52" s="308"/>
    </row>
    <row r="53" spans="2:40">
      <c r="B53" s="310" t="s">
        <v>64</v>
      </c>
      <c r="C53" s="311">
        <v>144</v>
      </c>
      <c r="D53" s="311">
        <v>1</v>
      </c>
      <c r="E53" s="311">
        <v>33</v>
      </c>
      <c r="F53" s="310">
        <f t="shared" si="1"/>
        <v>178</v>
      </c>
      <c r="H53">
        <f>SUM(E36:E53)</f>
        <v>140</v>
      </c>
      <c r="J53" s="314" t="s">
        <v>273</v>
      </c>
      <c r="AB53" s="308"/>
      <c r="AC53" s="308"/>
      <c r="AD53" s="308"/>
      <c r="AE53" s="308"/>
      <c r="AF53" s="308"/>
      <c r="AG53" s="308"/>
      <c r="AH53" s="308"/>
      <c r="AI53" s="308"/>
      <c r="AJ53" s="308"/>
      <c r="AK53" s="308"/>
      <c r="AL53" s="308"/>
      <c r="AM53" s="308"/>
      <c r="AN53" s="308"/>
    </row>
    <row r="54" spans="2:40">
      <c r="B54" t="s">
        <v>65</v>
      </c>
      <c r="C54" s="2">
        <v>99</v>
      </c>
      <c r="D54" s="2">
        <v>7</v>
      </c>
      <c r="E54" s="2">
        <v>18</v>
      </c>
      <c r="F54">
        <f t="shared" si="1"/>
        <v>124</v>
      </c>
      <c r="J54" t="s">
        <v>275</v>
      </c>
      <c r="K54">
        <v>2014</v>
      </c>
      <c r="L54">
        <v>2015</v>
      </c>
      <c r="M54">
        <v>2016</v>
      </c>
      <c r="N54">
        <v>2017</v>
      </c>
      <c r="O54">
        <v>2018</v>
      </c>
      <c r="P54">
        <v>2019</v>
      </c>
      <c r="Q54">
        <v>2020</v>
      </c>
      <c r="R54">
        <v>2021</v>
      </c>
      <c r="S54">
        <v>2022</v>
      </c>
      <c r="AB54" s="308"/>
      <c r="AC54" s="308"/>
      <c r="AD54" s="308"/>
      <c r="AE54" s="308"/>
      <c r="AF54" s="308"/>
      <c r="AG54" s="308"/>
      <c r="AH54" s="308"/>
      <c r="AI54" s="308"/>
      <c r="AJ54" s="308"/>
      <c r="AK54" s="308"/>
      <c r="AL54" s="308"/>
      <c r="AM54" s="308"/>
      <c r="AN54" s="308"/>
    </row>
    <row r="55" spans="2:40">
      <c r="B55" t="s">
        <v>66</v>
      </c>
      <c r="C55" s="2">
        <v>80</v>
      </c>
      <c r="D55" s="2">
        <v>3</v>
      </c>
      <c r="E55" s="2">
        <v>14</v>
      </c>
      <c r="F55">
        <f t="shared" si="1"/>
        <v>97</v>
      </c>
      <c r="J55" t="s">
        <v>4</v>
      </c>
      <c r="K55" s="3">
        <f>SUM(C36:C37)</f>
        <v>7</v>
      </c>
      <c r="L55" s="3">
        <f>SUM(C38:C41)</f>
        <v>65</v>
      </c>
      <c r="M55" s="3">
        <f>SUM(C42:C45)</f>
        <v>190</v>
      </c>
      <c r="N55" s="3">
        <f>SUM(C46:C49)</f>
        <v>1093</v>
      </c>
      <c r="O55" s="3">
        <f>SUM(C50:C53)</f>
        <v>933</v>
      </c>
      <c r="P55" s="3">
        <f>SUM(C54:C57)</f>
        <v>645</v>
      </c>
      <c r="Q55" s="3">
        <f>SUM(C58:C61)</f>
        <v>17</v>
      </c>
      <c r="R55" s="3">
        <f>SUM(C62:C65)</f>
        <v>16</v>
      </c>
      <c r="S55" s="3">
        <f>C66</f>
        <v>8</v>
      </c>
      <c r="T55" s="3"/>
      <c r="U55" s="2"/>
      <c r="AB55" s="308"/>
      <c r="AC55" s="308"/>
      <c r="AD55" s="308"/>
      <c r="AE55" s="308"/>
      <c r="AF55" s="308"/>
      <c r="AG55" s="308"/>
      <c r="AH55" s="308"/>
      <c r="AI55" s="308"/>
      <c r="AJ55" s="308"/>
      <c r="AK55" s="308"/>
      <c r="AL55" s="308"/>
      <c r="AM55" s="308"/>
      <c r="AN55" s="308"/>
    </row>
    <row r="56" spans="2:40">
      <c r="B56" t="s">
        <v>67</v>
      </c>
      <c r="C56" s="2">
        <v>97</v>
      </c>
      <c r="D56" s="2">
        <v>9</v>
      </c>
      <c r="E56" s="2">
        <v>63</v>
      </c>
      <c r="F56">
        <f t="shared" si="1"/>
        <v>169</v>
      </c>
      <c r="J56" t="s">
        <v>5</v>
      </c>
      <c r="K56" s="3">
        <f>SUM(D36:D37)</f>
        <v>0</v>
      </c>
      <c r="L56" s="3">
        <f>SUM(D38:D41)</f>
        <v>0</v>
      </c>
      <c r="M56" s="3">
        <f>SUM(D42:D45)</f>
        <v>0</v>
      </c>
      <c r="N56" s="3">
        <f>SUM(D46:D49)</f>
        <v>2</v>
      </c>
      <c r="O56" s="3">
        <f>SUM(D50:D53)</f>
        <v>4</v>
      </c>
      <c r="P56" s="3">
        <f>SUM(D54:D57)</f>
        <v>172</v>
      </c>
      <c r="Q56" s="3">
        <f>SUM(D58:D61)</f>
        <v>7</v>
      </c>
      <c r="R56" s="3">
        <f>SUM(D62:D65)</f>
        <v>140</v>
      </c>
      <c r="S56" s="3">
        <f>D66</f>
        <v>148</v>
      </c>
      <c r="T56" s="3"/>
      <c r="U56" s="2"/>
      <c r="AB56" s="308"/>
      <c r="AC56" s="308"/>
      <c r="AD56" s="308"/>
      <c r="AE56" s="308"/>
      <c r="AF56" s="308"/>
      <c r="AG56" s="308"/>
      <c r="AH56" s="308"/>
      <c r="AI56" s="308"/>
      <c r="AJ56" s="308"/>
      <c r="AK56" s="308"/>
      <c r="AL56" s="308"/>
      <c r="AM56" s="308"/>
      <c r="AN56" s="308"/>
    </row>
    <row r="57" spans="2:40">
      <c r="B57" s="310" t="s">
        <v>68</v>
      </c>
      <c r="C57" s="311">
        <v>369</v>
      </c>
      <c r="D57" s="311">
        <v>153</v>
      </c>
      <c r="E57" s="311">
        <v>386</v>
      </c>
      <c r="F57" s="310">
        <f t="shared" si="1"/>
        <v>908</v>
      </c>
      <c r="J57" t="s">
        <v>6</v>
      </c>
      <c r="K57" s="3">
        <f>SUM(E36:E37)</f>
        <v>2</v>
      </c>
      <c r="L57" s="3">
        <f>SUM(E38:E41)</f>
        <v>5</v>
      </c>
      <c r="M57" s="3">
        <f>SUM(E42:E45)</f>
        <v>11</v>
      </c>
      <c r="N57" s="3">
        <f>SUM(E46:E49)</f>
        <v>45</v>
      </c>
      <c r="O57" s="3">
        <f>SUM(E50:E53)</f>
        <v>77</v>
      </c>
      <c r="P57" s="3">
        <f>SUM(E54:E57)</f>
        <v>481</v>
      </c>
      <c r="Q57" s="3">
        <f>SUM(E58:E61)</f>
        <v>46</v>
      </c>
      <c r="R57" s="3">
        <f>SUM(E62:E65)</f>
        <v>251</v>
      </c>
      <c r="S57" s="3">
        <f>E66</f>
        <v>131</v>
      </c>
      <c r="T57" s="3"/>
      <c r="U57" s="2"/>
      <c r="AB57" s="308"/>
      <c r="AC57" s="308"/>
      <c r="AD57" s="308"/>
      <c r="AE57" s="308"/>
      <c r="AF57" s="308"/>
      <c r="AG57" s="308"/>
      <c r="AH57" s="308"/>
      <c r="AI57" s="308"/>
      <c r="AJ57" s="308"/>
      <c r="AK57" s="308"/>
      <c r="AL57" s="308"/>
      <c r="AM57" s="308"/>
      <c r="AN57" s="308"/>
    </row>
    <row r="58" spans="2:40">
      <c r="B58" t="s">
        <v>69</v>
      </c>
      <c r="C58" s="315">
        <v>2</v>
      </c>
      <c r="D58" s="315">
        <v>3</v>
      </c>
      <c r="E58" s="315">
        <v>7</v>
      </c>
      <c r="F58">
        <f t="shared" si="1"/>
        <v>12</v>
      </c>
      <c r="J58" t="s">
        <v>276</v>
      </c>
      <c r="K58" s="3">
        <f>SUM(K55:K57)</f>
        <v>9</v>
      </c>
      <c r="L58" s="3">
        <f t="shared" ref="L58:S58" si="2">SUM(L55:L57)</f>
        <v>70</v>
      </c>
      <c r="M58" s="3">
        <f t="shared" si="2"/>
        <v>201</v>
      </c>
      <c r="N58" s="3">
        <f t="shared" si="2"/>
        <v>1140</v>
      </c>
      <c r="O58" s="3">
        <f t="shared" si="2"/>
        <v>1014</v>
      </c>
      <c r="P58" s="3">
        <f t="shared" si="2"/>
        <v>1298</v>
      </c>
      <c r="Q58" s="3">
        <f t="shared" si="2"/>
        <v>70</v>
      </c>
      <c r="R58" s="3">
        <f t="shared" si="2"/>
        <v>407</v>
      </c>
      <c r="S58" s="3">
        <f t="shared" si="2"/>
        <v>287</v>
      </c>
      <c r="T58" s="3"/>
      <c r="U58" s="2"/>
      <c r="AB58" s="308"/>
      <c r="AC58" s="308"/>
      <c r="AD58" s="308"/>
      <c r="AE58" s="308"/>
      <c r="AF58" s="308"/>
      <c r="AG58" s="308"/>
      <c r="AH58" s="308"/>
      <c r="AI58" s="308"/>
      <c r="AJ58" s="308"/>
      <c r="AK58" s="308"/>
      <c r="AL58" s="308"/>
      <c r="AM58" s="308"/>
      <c r="AN58" s="308"/>
    </row>
    <row r="59" spans="2:40">
      <c r="B59" t="s">
        <v>70</v>
      </c>
      <c r="C59" s="315">
        <v>2</v>
      </c>
      <c r="D59" s="315">
        <v>0</v>
      </c>
      <c r="E59" s="315">
        <v>12</v>
      </c>
      <c r="F59">
        <f t="shared" si="1"/>
        <v>14</v>
      </c>
      <c r="M59" s="306"/>
      <c r="N59" s="313"/>
      <c r="AB59" s="308"/>
      <c r="AC59" s="308"/>
      <c r="AD59" s="308"/>
      <c r="AE59" s="308"/>
      <c r="AF59" s="308"/>
      <c r="AG59" s="308"/>
      <c r="AH59" s="308"/>
      <c r="AI59" s="308"/>
      <c r="AJ59" s="308"/>
      <c r="AK59" s="308"/>
      <c r="AL59" s="308"/>
      <c r="AM59" s="308"/>
      <c r="AN59" s="308"/>
    </row>
    <row r="60" spans="2:40">
      <c r="B60" t="s">
        <v>71</v>
      </c>
      <c r="C60" s="315">
        <v>6</v>
      </c>
      <c r="D60" s="315">
        <v>2</v>
      </c>
      <c r="E60" s="315">
        <v>10</v>
      </c>
      <c r="F60">
        <f t="shared" si="1"/>
        <v>18</v>
      </c>
      <c r="M60" s="306"/>
      <c r="N60" s="313"/>
      <c r="AB60" s="308"/>
      <c r="AC60" s="308"/>
      <c r="AD60" s="308"/>
      <c r="AE60" s="308"/>
      <c r="AF60" s="308"/>
      <c r="AG60" s="308"/>
      <c r="AH60" s="308"/>
      <c r="AI60" s="308"/>
      <c r="AJ60" s="308"/>
      <c r="AK60" s="308"/>
      <c r="AL60" s="308"/>
      <c r="AM60" s="308"/>
      <c r="AN60" s="308"/>
    </row>
    <row r="61" spans="2:40">
      <c r="B61" s="310" t="s">
        <v>72</v>
      </c>
      <c r="C61" s="316">
        <v>7</v>
      </c>
      <c r="D61" s="316">
        <v>2</v>
      </c>
      <c r="E61" s="316">
        <v>17</v>
      </c>
      <c r="F61" s="310">
        <f t="shared" si="1"/>
        <v>26</v>
      </c>
      <c r="M61" s="306"/>
      <c r="N61" s="306"/>
      <c r="AB61" s="308"/>
      <c r="AC61" s="308"/>
      <c r="AD61" s="308"/>
      <c r="AE61" s="308"/>
      <c r="AF61" s="308"/>
      <c r="AG61" s="308"/>
      <c r="AH61" s="308"/>
      <c r="AI61" s="308"/>
      <c r="AJ61" s="308"/>
      <c r="AK61" s="308"/>
      <c r="AL61" s="308"/>
      <c r="AM61" s="308"/>
      <c r="AN61" s="308"/>
    </row>
    <row r="62" spans="2:40">
      <c r="B62" t="s">
        <v>73</v>
      </c>
      <c r="C62" s="315">
        <v>6</v>
      </c>
      <c r="D62" s="315">
        <v>6</v>
      </c>
      <c r="E62" s="315">
        <v>23</v>
      </c>
      <c r="F62">
        <f t="shared" si="1"/>
        <v>35</v>
      </c>
      <c r="M62" s="306"/>
      <c r="N62" s="306"/>
      <c r="AB62" s="308"/>
      <c r="AC62" s="308"/>
      <c r="AD62" s="308"/>
      <c r="AE62" s="308"/>
      <c r="AF62" s="308"/>
      <c r="AG62" s="308"/>
      <c r="AH62" s="308"/>
      <c r="AI62" s="308"/>
      <c r="AJ62" s="308"/>
      <c r="AK62" s="308"/>
      <c r="AL62" s="308"/>
      <c r="AM62" s="308"/>
      <c r="AN62" s="308"/>
    </row>
    <row r="63" spans="2:40">
      <c r="B63" t="s">
        <v>74</v>
      </c>
      <c r="C63" s="315">
        <v>9</v>
      </c>
      <c r="D63" s="315">
        <v>90</v>
      </c>
      <c r="E63" s="315">
        <v>164</v>
      </c>
      <c r="F63">
        <f t="shared" si="1"/>
        <v>263</v>
      </c>
      <c r="M63" s="306"/>
      <c r="N63" s="306"/>
      <c r="AB63" s="308"/>
      <c r="AC63" s="308"/>
      <c r="AD63" s="308"/>
      <c r="AE63" s="308"/>
      <c r="AF63" s="308"/>
      <c r="AG63" s="308"/>
      <c r="AH63" s="308"/>
      <c r="AI63" s="308"/>
      <c r="AJ63" s="308"/>
      <c r="AK63" s="308"/>
      <c r="AL63" s="308"/>
      <c r="AM63" s="308"/>
      <c r="AN63" s="308"/>
    </row>
    <row r="64" spans="2:40">
      <c r="B64" t="s">
        <v>75</v>
      </c>
      <c r="C64" s="315">
        <v>0</v>
      </c>
      <c r="D64" s="315">
        <v>19</v>
      </c>
      <c r="E64" s="315">
        <v>14</v>
      </c>
      <c r="F64">
        <f t="shared" si="1"/>
        <v>33</v>
      </c>
      <c r="M64" s="306"/>
      <c r="N64" s="306"/>
      <c r="AB64" s="308"/>
      <c r="AC64" s="308"/>
      <c r="AD64" s="308"/>
      <c r="AE64" s="308"/>
      <c r="AF64" s="308"/>
      <c r="AG64" s="308"/>
      <c r="AH64" s="308"/>
      <c r="AI64" s="308"/>
      <c r="AJ64" s="308"/>
      <c r="AK64" s="308"/>
      <c r="AL64" s="308"/>
      <c r="AM64" s="308"/>
      <c r="AN64" s="308"/>
    </row>
    <row r="65" spans="2:40">
      <c r="B65" s="310" t="s">
        <v>76</v>
      </c>
      <c r="C65" s="316">
        <v>1</v>
      </c>
      <c r="D65" s="316">
        <v>25</v>
      </c>
      <c r="E65" s="316">
        <v>50</v>
      </c>
      <c r="F65" s="310">
        <f t="shared" si="1"/>
        <v>76</v>
      </c>
      <c r="M65" s="306"/>
      <c r="N65" s="306"/>
      <c r="AB65" s="308"/>
      <c r="AC65" s="308"/>
      <c r="AD65" s="308"/>
      <c r="AE65" s="308"/>
      <c r="AF65" s="308"/>
      <c r="AG65" s="308"/>
      <c r="AH65" s="308"/>
      <c r="AI65" s="308"/>
      <c r="AJ65" s="308"/>
      <c r="AK65" s="308"/>
      <c r="AL65" s="308"/>
      <c r="AM65" s="308"/>
      <c r="AN65" s="308"/>
    </row>
    <row r="66" spans="2:40" ht="14.45" customHeight="1">
      <c r="B66" t="s">
        <v>77</v>
      </c>
      <c r="C66" s="315">
        <v>8</v>
      </c>
      <c r="D66" s="315">
        <v>148</v>
      </c>
      <c r="E66" s="315">
        <v>131</v>
      </c>
      <c r="F66">
        <f t="shared" si="1"/>
        <v>287</v>
      </c>
      <c r="M66" s="306"/>
      <c r="N66" s="306"/>
      <c r="AB66" s="308"/>
      <c r="AC66" s="308"/>
      <c r="AD66" s="308"/>
      <c r="AE66" s="308"/>
      <c r="AF66" s="308"/>
      <c r="AG66" s="308"/>
      <c r="AH66" s="308"/>
      <c r="AI66" s="308"/>
      <c r="AJ66" s="308"/>
      <c r="AK66" s="308"/>
      <c r="AL66" s="308"/>
      <c r="AM66" s="308"/>
      <c r="AN66" s="308"/>
    </row>
    <row r="67" spans="2:40" ht="15">
      <c r="B67" s="43"/>
      <c r="M67" s="306"/>
      <c r="N67" s="306"/>
    </row>
    <row r="68" spans="2:40" ht="15">
      <c r="B68" s="43" t="s">
        <v>3</v>
      </c>
      <c r="C68">
        <f>SUM(C36:C66)</f>
        <v>2974</v>
      </c>
      <c r="D68">
        <f t="shared" ref="D68:F68" si="3">SUM(D36:D66)</f>
        <v>473</v>
      </c>
      <c r="E68">
        <f t="shared" si="3"/>
        <v>1049</v>
      </c>
      <c r="F68">
        <f t="shared" si="3"/>
        <v>4496</v>
      </c>
      <c r="M68" s="306"/>
      <c r="N68" s="306"/>
    </row>
    <row r="69" spans="2:40" ht="12.6" customHeight="1">
      <c r="B69" s="43"/>
      <c r="M69" s="306"/>
      <c r="N69" s="306"/>
    </row>
    <row r="70" spans="2:40" ht="12.6" customHeight="1">
      <c r="M70" s="306"/>
      <c r="N70" s="306"/>
      <c r="AB70" s="308"/>
      <c r="AC70" s="308"/>
      <c r="AD70" s="308"/>
      <c r="AE70" s="308"/>
      <c r="AF70" s="308"/>
      <c r="AG70" s="308"/>
      <c r="AH70" s="308"/>
      <c r="AI70" s="308"/>
      <c r="AJ70" s="308"/>
      <c r="AK70" s="308"/>
      <c r="AL70" s="308"/>
      <c r="AM70" s="308"/>
      <c r="AN70" s="308"/>
    </row>
    <row r="71" spans="2:40" ht="15" hidden="1">
      <c r="B71" s="317" t="s">
        <v>410</v>
      </c>
      <c r="C71" s="310"/>
      <c r="D71" s="310"/>
      <c r="E71" s="310"/>
      <c r="F71" s="310"/>
      <c r="G71" s="310"/>
      <c r="H71" s="310"/>
      <c r="I71" s="310"/>
      <c r="J71" s="310"/>
      <c r="K71" s="310"/>
      <c r="M71" s="306"/>
      <c r="N71" s="306"/>
      <c r="AB71" s="308"/>
      <c r="AC71" s="308"/>
      <c r="AD71" s="308"/>
      <c r="AE71" s="308"/>
      <c r="AF71" s="308"/>
      <c r="AG71" s="308"/>
      <c r="AH71" s="308"/>
      <c r="AI71" s="308"/>
      <c r="AJ71" s="308"/>
      <c r="AK71" s="308"/>
      <c r="AL71" s="308"/>
      <c r="AM71" s="308"/>
      <c r="AN71" s="308"/>
    </row>
    <row r="72" spans="2:40" hidden="1">
      <c r="C72" t="s">
        <v>411</v>
      </c>
      <c r="M72" s="306"/>
      <c r="N72" s="306"/>
      <c r="AB72" s="308"/>
      <c r="AC72" s="308"/>
      <c r="AD72" s="308"/>
      <c r="AE72" s="308"/>
      <c r="AF72" s="308"/>
      <c r="AG72" s="308"/>
      <c r="AH72" s="308"/>
      <c r="AI72" s="308"/>
      <c r="AJ72" s="308"/>
      <c r="AK72" s="308"/>
      <c r="AL72" s="308"/>
      <c r="AM72" s="308"/>
      <c r="AN72" s="308"/>
    </row>
    <row r="73" spans="2:40" hidden="1">
      <c r="B73" s="318" t="s">
        <v>412</v>
      </c>
      <c r="C73" t="s">
        <v>332</v>
      </c>
      <c r="D73" t="s">
        <v>334</v>
      </c>
      <c r="E73" t="s">
        <v>333</v>
      </c>
      <c r="F73" t="s">
        <v>4</v>
      </c>
      <c r="G73" t="s">
        <v>361</v>
      </c>
      <c r="H73" t="s">
        <v>5</v>
      </c>
      <c r="I73" t="s">
        <v>413</v>
      </c>
      <c r="J73" t="s">
        <v>168</v>
      </c>
      <c r="N73" s="105" t="s">
        <v>414</v>
      </c>
      <c r="AB73" s="308"/>
      <c r="AC73" s="308"/>
      <c r="AD73" s="308"/>
      <c r="AE73" s="308"/>
      <c r="AF73" s="308"/>
      <c r="AG73" s="308"/>
      <c r="AH73" s="308"/>
      <c r="AI73" s="308"/>
      <c r="AJ73" s="308"/>
      <c r="AK73" s="308"/>
      <c r="AL73" s="308"/>
      <c r="AM73" s="308"/>
      <c r="AN73" s="308"/>
    </row>
    <row r="74" spans="2:40" hidden="1">
      <c r="B74">
        <v>2012</v>
      </c>
      <c r="C74" s="3">
        <f>SUM(C353:C361)</f>
        <v>1</v>
      </c>
      <c r="D74" s="3">
        <f t="shared" ref="D74:J74" si="4">SUM(D353:D361)</f>
        <v>0</v>
      </c>
      <c r="E74" s="3">
        <f t="shared" si="4"/>
        <v>1</v>
      </c>
      <c r="F74" s="3">
        <f t="shared" si="4"/>
        <v>14</v>
      </c>
      <c r="G74" s="3">
        <f t="shared" si="4"/>
        <v>0</v>
      </c>
      <c r="H74" s="3">
        <f t="shared" si="4"/>
        <v>0</v>
      </c>
      <c r="I74" s="3">
        <f t="shared" si="4"/>
        <v>2</v>
      </c>
      <c r="J74" s="3">
        <f t="shared" si="4"/>
        <v>18</v>
      </c>
      <c r="AB74" s="308"/>
      <c r="AC74" s="308"/>
      <c r="AD74" s="308"/>
      <c r="AE74" s="308"/>
      <c r="AF74" s="308"/>
      <c r="AG74" s="308"/>
      <c r="AH74" s="308"/>
      <c r="AI74" s="308"/>
      <c r="AJ74" s="308"/>
      <c r="AK74" s="308"/>
      <c r="AL74" s="308"/>
      <c r="AM74" s="308"/>
      <c r="AN74" s="308"/>
    </row>
    <row r="75" spans="2:40" hidden="1">
      <c r="B75">
        <v>2013</v>
      </c>
      <c r="C75" s="3">
        <f>SUM(C362:C373)</f>
        <v>0</v>
      </c>
      <c r="D75" s="3">
        <f t="shared" ref="D75:J75" si="5">SUM(D362:D373)</f>
        <v>0</v>
      </c>
      <c r="E75" s="3">
        <f t="shared" si="5"/>
        <v>0</v>
      </c>
      <c r="F75" s="3">
        <f t="shared" si="5"/>
        <v>4</v>
      </c>
      <c r="G75" s="3">
        <f t="shared" si="5"/>
        <v>0</v>
      </c>
      <c r="H75" s="3">
        <f t="shared" si="5"/>
        <v>0</v>
      </c>
      <c r="I75" s="3">
        <f t="shared" si="5"/>
        <v>0</v>
      </c>
      <c r="J75" s="3">
        <f t="shared" si="5"/>
        <v>4</v>
      </c>
      <c r="AB75" s="308"/>
      <c r="AC75" s="308"/>
      <c r="AD75" s="308"/>
      <c r="AE75" s="308"/>
      <c r="AF75" s="308"/>
      <c r="AG75" s="308"/>
      <c r="AH75" s="308"/>
      <c r="AI75" s="308"/>
      <c r="AJ75" s="308"/>
      <c r="AK75" s="308"/>
      <c r="AL75" s="308"/>
      <c r="AM75" s="308"/>
      <c r="AN75" s="308"/>
    </row>
    <row r="76" spans="2:40" hidden="1">
      <c r="B76">
        <v>2014</v>
      </c>
      <c r="C76" s="3">
        <f>SUM(C374:C385)</f>
        <v>0</v>
      </c>
      <c r="D76" s="3">
        <f t="shared" ref="D76:J76" si="6">SUM(D374:D385)</f>
        <v>0</v>
      </c>
      <c r="E76" s="3">
        <f t="shared" si="6"/>
        <v>0</v>
      </c>
      <c r="F76" s="3">
        <f t="shared" si="6"/>
        <v>49</v>
      </c>
      <c r="G76" s="3">
        <f t="shared" si="6"/>
        <v>0</v>
      </c>
      <c r="H76" s="3">
        <f t="shared" si="6"/>
        <v>0</v>
      </c>
      <c r="I76" s="3">
        <f t="shared" si="6"/>
        <v>4</v>
      </c>
      <c r="J76" s="3">
        <f t="shared" si="6"/>
        <v>53</v>
      </c>
      <c r="AB76" s="308"/>
      <c r="AC76" s="308"/>
      <c r="AD76" s="308"/>
      <c r="AE76" s="308"/>
      <c r="AF76" s="308"/>
      <c r="AG76" s="308"/>
      <c r="AH76" s="308"/>
      <c r="AI76" s="308"/>
      <c r="AJ76" s="308"/>
      <c r="AK76" s="308"/>
      <c r="AL76" s="308"/>
      <c r="AM76" s="308"/>
      <c r="AN76" s="308"/>
    </row>
    <row r="77" spans="2:40" hidden="1">
      <c r="B77">
        <v>2015</v>
      </c>
      <c r="C77" s="3">
        <f>SUM(C386:C397)</f>
        <v>0</v>
      </c>
      <c r="D77" s="3">
        <f t="shared" ref="D77:J77" si="7">SUM(D386:D397)</f>
        <v>3</v>
      </c>
      <c r="E77" s="3">
        <f t="shared" si="7"/>
        <v>0</v>
      </c>
      <c r="F77" s="3">
        <f t="shared" si="7"/>
        <v>223</v>
      </c>
      <c r="G77" s="3">
        <f t="shared" si="7"/>
        <v>0</v>
      </c>
      <c r="H77" s="3">
        <f t="shared" si="7"/>
        <v>0</v>
      </c>
      <c r="I77" s="3">
        <f t="shared" si="7"/>
        <v>50</v>
      </c>
      <c r="J77" s="3">
        <f t="shared" si="7"/>
        <v>276</v>
      </c>
    </row>
    <row r="78" spans="2:40" hidden="1">
      <c r="B78">
        <v>2016</v>
      </c>
      <c r="C78" s="3">
        <f>SUM(C398:C409)</f>
        <v>47</v>
      </c>
      <c r="D78" s="3">
        <f t="shared" ref="D78:J78" si="8">SUM(D398:D409)</f>
        <v>11</v>
      </c>
      <c r="E78" s="3">
        <f t="shared" si="8"/>
        <v>0</v>
      </c>
      <c r="F78" s="3">
        <f t="shared" si="8"/>
        <v>875</v>
      </c>
      <c r="G78" s="3">
        <f t="shared" si="8"/>
        <v>9</v>
      </c>
      <c r="H78" s="3">
        <f t="shared" si="8"/>
        <v>14</v>
      </c>
      <c r="I78" s="3">
        <f t="shared" si="8"/>
        <v>60</v>
      </c>
      <c r="J78" s="3">
        <f t="shared" si="8"/>
        <v>1016</v>
      </c>
    </row>
    <row r="79" spans="2:40" hidden="1">
      <c r="B79">
        <v>2017</v>
      </c>
      <c r="C79" s="3">
        <f>SUM(C410:C421)</f>
        <v>138</v>
      </c>
      <c r="D79" s="3">
        <f t="shared" ref="D79:J79" si="9">SUM(D410:D421)</f>
        <v>17</v>
      </c>
      <c r="E79" s="3">
        <f t="shared" si="9"/>
        <v>8</v>
      </c>
      <c r="F79" s="3">
        <f t="shared" si="9"/>
        <v>1798</v>
      </c>
      <c r="G79" s="3">
        <f t="shared" si="9"/>
        <v>41</v>
      </c>
      <c r="H79" s="3">
        <f t="shared" si="9"/>
        <v>95</v>
      </c>
      <c r="I79" s="3">
        <f t="shared" si="9"/>
        <v>208</v>
      </c>
      <c r="J79" s="3">
        <f t="shared" si="9"/>
        <v>2305</v>
      </c>
    </row>
    <row r="80" spans="2:40" hidden="1">
      <c r="B80">
        <v>2018</v>
      </c>
      <c r="C80" s="3">
        <f>SUM(C422:C433)</f>
        <v>371</v>
      </c>
      <c r="D80" s="3">
        <f t="shared" ref="D80:J80" si="10">SUM(D422:D433)</f>
        <v>49</v>
      </c>
      <c r="E80" s="3">
        <f t="shared" si="10"/>
        <v>113</v>
      </c>
      <c r="F80" s="3">
        <f t="shared" si="10"/>
        <v>1386</v>
      </c>
      <c r="G80" s="3">
        <f t="shared" si="10"/>
        <v>117</v>
      </c>
      <c r="H80" s="3">
        <f t="shared" si="10"/>
        <v>423</v>
      </c>
      <c r="I80" s="3">
        <f t="shared" si="10"/>
        <v>476</v>
      </c>
      <c r="J80" s="3">
        <f t="shared" si="10"/>
        <v>2935</v>
      </c>
      <c r="AB80" s="308"/>
      <c r="AC80" s="308"/>
      <c r="AD80" s="308"/>
      <c r="AE80" s="308"/>
      <c r="AF80" s="308"/>
      <c r="AG80" s="308"/>
      <c r="AH80" s="308"/>
      <c r="AI80" s="308"/>
      <c r="AJ80" s="308"/>
      <c r="AK80" s="308"/>
      <c r="AL80" s="308"/>
      <c r="AM80" s="308"/>
      <c r="AN80" s="308"/>
    </row>
    <row r="81" spans="2:40" hidden="1">
      <c r="B81">
        <v>2019</v>
      </c>
      <c r="C81" s="3">
        <f>SUM(C434:C445)</f>
        <v>378</v>
      </c>
      <c r="D81" s="3">
        <f t="shared" ref="D81:J81" si="11">SUM(D434:D445)</f>
        <v>91</v>
      </c>
      <c r="E81" s="3">
        <f t="shared" si="11"/>
        <v>520</v>
      </c>
      <c r="F81" s="3">
        <f t="shared" si="11"/>
        <v>491</v>
      </c>
      <c r="G81" s="3">
        <f t="shared" si="11"/>
        <v>217</v>
      </c>
      <c r="H81" s="3">
        <f t="shared" si="11"/>
        <v>896</v>
      </c>
      <c r="I81" s="3">
        <f t="shared" si="11"/>
        <v>1066</v>
      </c>
      <c r="J81" s="3">
        <f t="shared" si="11"/>
        <v>3659</v>
      </c>
      <c r="AB81" s="308"/>
      <c r="AC81" s="308"/>
      <c r="AD81" s="308"/>
      <c r="AE81" s="308"/>
      <c r="AF81" s="308"/>
      <c r="AG81" s="308"/>
      <c r="AH81" s="308"/>
      <c r="AI81" s="308"/>
      <c r="AJ81" s="308"/>
      <c r="AK81" s="308"/>
      <c r="AL81" s="308"/>
      <c r="AM81" s="308"/>
      <c r="AN81" s="308"/>
    </row>
    <row r="82" spans="2:40" hidden="1">
      <c r="B82">
        <v>2020</v>
      </c>
      <c r="C82" s="302">
        <f>SUM(C446:C457)</f>
        <v>253</v>
      </c>
      <c r="D82" s="302">
        <f t="shared" ref="D82:J82" si="12">SUM(D446:D457)</f>
        <v>131</v>
      </c>
      <c r="E82" s="302">
        <f t="shared" si="12"/>
        <v>407</v>
      </c>
      <c r="F82" s="302">
        <f t="shared" si="12"/>
        <v>426</v>
      </c>
      <c r="G82" s="302">
        <f t="shared" si="12"/>
        <v>227</v>
      </c>
      <c r="H82" s="302">
        <f t="shared" si="12"/>
        <v>898</v>
      </c>
      <c r="I82" s="302">
        <f t="shared" si="12"/>
        <v>1599</v>
      </c>
      <c r="J82" s="302">
        <f t="shared" si="12"/>
        <v>3941</v>
      </c>
      <c r="K82" s="113"/>
      <c r="AB82" s="308"/>
      <c r="AC82" s="308"/>
      <c r="AD82" s="308"/>
      <c r="AE82" s="308"/>
      <c r="AF82" s="308"/>
      <c r="AG82" s="308"/>
      <c r="AH82" s="308"/>
      <c r="AI82" s="308"/>
      <c r="AJ82" s="308"/>
      <c r="AK82" s="308"/>
      <c r="AL82" s="308"/>
      <c r="AM82" s="308"/>
      <c r="AN82" s="308"/>
    </row>
    <row r="83" spans="2:40" hidden="1">
      <c r="B83">
        <v>2021</v>
      </c>
      <c r="C83" s="302">
        <f>SUM(C458:C459)</f>
        <v>0</v>
      </c>
      <c r="D83" s="302">
        <f t="shared" ref="D83:J83" si="13">SUM(D458:D459)</f>
        <v>0</v>
      </c>
      <c r="E83" s="302">
        <f t="shared" si="13"/>
        <v>3</v>
      </c>
      <c r="F83" s="302">
        <f t="shared" si="13"/>
        <v>0</v>
      </c>
      <c r="G83" s="302">
        <f t="shared" si="13"/>
        <v>0</v>
      </c>
      <c r="H83" s="302">
        <f t="shared" si="13"/>
        <v>0</v>
      </c>
      <c r="I83" s="302">
        <f t="shared" si="13"/>
        <v>11</v>
      </c>
      <c r="J83" s="302">
        <f t="shared" si="13"/>
        <v>14</v>
      </c>
      <c r="K83" s="113"/>
      <c r="AB83" s="308"/>
      <c r="AC83" s="308"/>
      <c r="AD83" s="308"/>
      <c r="AE83" s="308"/>
      <c r="AF83" s="308"/>
      <c r="AG83" s="308"/>
      <c r="AH83" s="308"/>
      <c r="AI83" s="308"/>
      <c r="AJ83" s="308"/>
      <c r="AK83" s="308"/>
      <c r="AL83" s="308"/>
      <c r="AM83" s="308"/>
      <c r="AN83" s="308"/>
    </row>
    <row r="84" spans="2:40" hidden="1">
      <c r="B84" s="319" t="s">
        <v>415</v>
      </c>
      <c r="C84" s="2">
        <f>SUM(C74:C83)</f>
        <v>1188</v>
      </c>
      <c r="D84" s="2">
        <f t="shared" ref="D84:J84" si="14">SUM(D74:D83)</f>
        <v>302</v>
      </c>
      <c r="E84" s="2">
        <f t="shared" si="14"/>
        <v>1052</v>
      </c>
      <c r="F84" s="2">
        <f t="shared" si="14"/>
        <v>5266</v>
      </c>
      <c r="G84" s="2">
        <f t="shared" si="14"/>
        <v>611</v>
      </c>
      <c r="H84" s="2">
        <f t="shared" si="14"/>
        <v>2326</v>
      </c>
      <c r="I84" s="2">
        <f t="shared" si="14"/>
        <v>3476</v>
      </c>
      <c r="J84" s="2">
        <f t="shared" si="14"/>
        <v>14221</v>
      </c>
      <c r="K84" s="2">
        <f>J84-F84</f>
        <v>8955</v>
      </c>
      <c r="AB84" s="308"/>
      <c r="AC84" s="308"/>
      <c r="AD84" s="308"/>
      <c r="AE84" s="308"/>
      <c r="AF84" s="308"/>
      <c r="AG84" s="308"/>
      <c r="AH84" s="308"/>
      <c r="AI84" s="308"/>
      <c r="AJ84" s="308"/>
      <c r="AK84" s="308"/>
      <c r="AL84" s="308"/>
      <c r="AM84" s="308"/>
      <c r="AN84" s="308"/>
    </row>
    <row r="85" spans="2:40" hidden="1">
      <c r="C85" s="320">
        <v>0.254</v>
      </c>
      <c r="D85" s="320">
        <v>0.3</v>
      </c>
      <c r="E85" s="320">
        <v>0.38</v>
      </c>
      <c r="F85" s="320">
        <v>0.36899999999999999</v>
      </c>
      <c r="G85" s="320">
        <v>0.37</v>
      </c>
      <c r="H85" s="320">
        <v>0.443</v>
      </c>
      <c r="I85" s="320">
        <v>0.36</v>
      </c>
      <c r="J85" s="320">
        <v>0.36</v>
      </c>
      <c r="AB85" s="308"/>
      <c r="AC85" s="308"/>
      <c r="AD85" s="308"/>
      <c r="AE85" s="308"/>
      <c r="AF85" s="308"/>
      <c r="AG85" s="308"/>
      <c r="AH85" s="308"/>
      <c r="AI85" s="308"/>
      <c r="AJ85" s="308"/>
      <c r="AK85" s="308"/>
      <c r="AL85" s="308"/>
      <c r="AM85" s="308"/>
      <c r="AN85" s="308"/>
    </row>
    <row r="86" spans="2:40" ht="15" hidden="1">
      <c r="B86" s="321" t="s">
        <v>416</v>
      </c>
      <c r="C86" s="322"/>
      <c r="D86" s="322"/>
      <c r="E86" s="322"/>
      <c r="F86" s="322"/>
      <c r="G86" s="322"/>
      <c r="H86" s="322"/>
      <c r="I86" s="322"/>
      <c r="J86" s="322"/>
      <c r="K86" s="310"/>
      <c r="AB86" s="308"/>
      <c r="AC86" s="308"/>
      <c r="AD86" s="308"/>
      <c r="AE86" s="308"/>
      <c r="AF86" s="308"/>
      <c r="AG86" s="308"/>
      <c r="AH86" s="308"/>
      <c r="AI86" s="308"/>
      <c r="AJ86" s="308"/>
      <c r="AK86" s="308"/>
      <c r="AL86" s="308"/>
      <c r="AM86" s="308"/>
      <c r="AN86" s="308"/>
    </row>
    <row r="87" spans="2:40" ht="15" hidden="1">
      <c r="B87" s="323"/>
      <c r="C87" t="s">
        <v>332</v>
      </c>
      <c r="D87" t="s">
        <v>334</v>
      </c>
      <c r="E87" t="s">
        <v>333</v>
      </c>
      <c r="F87" t="s">
        <v>4</v>
      </c>
      <c r="G87" t="s">
        <v>361</v>
      </c>
      <c r="H87" t="s">
        <v>5</v>
      </c>
      <c r="I87" t="s">
        <v>413</v>
      </c>
      <c r="J87" t="s">
        <v>168</v>
      </c>
      <c r="N87" t="s">
        <v>417</v>
      </c>
      <c r="O87" t="s">
        <v>418</v>
      </c>
      <c r="AB87" s="308"/>
      <c r="AC87" s="308"/>
      <c r="AD87" s="308"/>
      <c r="AE87" s="308"/>
      <c r="AF87" s="308"/>
      <c r="AG87" s="308"/>
      <c r="AH87" s="308"/>
      <c r="AI87" s="308"/>
      <c r="AJ87" s="308"/>
      <c r="AK87" s="308"/>
      <c r="AL87" s="308"/>
      <c r="AM87" s="308"/>
      <c r="AN87" s="308"/>
    </row>
    <row r="88" spans="2:40" hidden="1">
      <c r="B88" s="324" t="s">
        <v>419</v>
      </c>
      <c r="C88" s="325">
        <v>1006</v>
      </c>
      <c r="D88" s="325"/>
      <c r="E88" s="325"/>
      <c r="F88" s="325">
        <v>4941</v>
      </c>
      <c r="G88" s="325"/>
      <c r="H88" s="325">
        <v>2103</v>
      </c>
      <c r="I88" s="325">
        <v>5108</v>
      </c>
      <c r="J88" s="325">
        <v>13158</v>
      </c>
      <c r="K88" s="2">
        <f>J88-F88</f>
        <v>8217</v>
      </c>
      <c r="O88" s="105" t="s">
        <v>420</v>
      </c>
    </row>
    <row r="89" spans="2:40">
      <c r="C89" s="320"/>
      <c r="D89" s="320"/>
      <c r="E89" s="320"/>
      <c r="F89" s="320"/>
      <c r="G89" s="320"/>
      <c r="H89" s="320"/>
      <c r="I89" s="320"/>
      <c r="J89" s="320"/>
    </row>
    <row r="90" spans="2:40" ht="15">
      <c r="B90" s="317" t="s">
        <v>421</v>
      </c>
      <c r="C90" s="326"/>
      <c r="D90" s="326"/>
      <c r="E90" s="326"/>
      <c r="F90" s="326"/>
      <c r="G90" s="326"/>
      <c r="H90" s="326"/>
      <c r="I90" s="326"/>
      <c r="J90" s="326"/>
      <c r="K90" s="310"/>
    </row>
    <row r="91" spans="2:40">
      <c r="C91" t="s">
        <v>332</v>
      </c>
      <c r="D91" t="s">
        <v>334</v>
      </c>
      <c r="E91" t="s">
        <v>333</v>
      </c>
      <c r="F91" t="s">
        <v>4</v>
      </c>
      <c r="G91" t="s">
        <v>361</v>
      </c>
      <c r="H91" t="s">
        <v>5</v>
      </c>
      <c r="I91" t="s">
        <v>413</v>
      </c>
      <c r="J91" t="s">
        <v>168</v>
      </c>
      <c r="N91" t="s">
        <v>422</v>
      </c>
      <c r="AB91" s="308"/>
      <c r="AC91" s="308"/>
      <c r="AD91" s="308"/>
      <c r="AE91" s="308"/>
      <c r="AF91" s="308"/>
      <c r="AG91" s="308"/>
      <c r="AH91" s="308"/>
      <c r="AI91" s="308"/>
      <c r="AJ91" s="308"/>
      <c r="AK91" s="308"/>
      <c r="AL91" s="308"/>
      <c r="AM91" s="308"/>
      <c r="AN91" s="308"/>
    </row>
    <row r="92" spans="2:40">
      <c r="B92" s="319" t="s">
        <v>423</v>
      </c>
      <c r="C92" s="2">
        <v>1028</v>
      </c>
      <c r="D92" s="2"/>
      <c r="E92" s="2">
        <v>1010</v>
      </c>
      <c r="F92" s="2">
        <v>4823</v>
      </c>
      <c r="G92" s="2">
        <v>579</v>
      </c>
      <c r="H92" s="2">
        <v>2175</v>
      </c>
      <c r="I92" s="2">
        <v>3506</v>
      </c>
      <c r="J92" s="2">
        <v>13203</v>
      </c>
      <c r="K92" s="2">
        <f>J92-F92</f>
        <v>8380</v>
      </c>
      <c r="O92" t="s">
        <v>424</v>
      </c>
      <c r="AB92" s="308"/>
      <c r="AC92" s="308"/>
      <c r="AD92" s="308"/>
      <c r="AE92" s="308"/>
      <c r="AF92" s="308"/>
      <c r="AG92" s="308"/>
      <c r="AH92" s="308"/>
      <c r="AI92" s="308"/>
      <c r="AJ92" s="308"/>
      <c r="AK92" s="308"/>
      <c r="AL92" s="308"/>
      <c r="AM92" s="308"/>
      <c r="AN92" s="308"/>
    </row>
    <row r="93" spans="2:40">
      <c r="B93" s="319"/>
      <c r="C93" s="2"/>
      <c r="D93" s="2"/>
      <c r="E93" s="2"/>
      <c r="F93" s="2"/>
      <c r="G93" s="2"/>
      <c r="H93" s="2"/>
      <c r="I93" s="2"/>
      <c r="J93" s="2"/>
      <c r="K93" s="2"/>
      <c r="AB93" s="308"/>
      <c r="AC93" s="308"/>
      <c r="AD93" s="308"/>
      <c r="AE93" s="308"/>
      <c r="AF93" s="308"/>
      <c r="AG93" s="308"/>
      <c r="AH93" s="308"/>
      <c r="AI93" s="308"/>
      <c r="AJ93" s="308"/>
      <c r="AK93" s="308"/>
      <c r="AL93" s="308"/>
      <c r="AM93" s="308"/>
      <c r="AN93" s="308"/>
    </row>
    <row r="94" spans="2:40" ht="15">
      <c r="B94" s="294" t="s">
        <v>425</v>
      </c>
      <c r="C94" s="327"/>
      <c r="D94" s="327"/>
      <c r="E94" s="327"/>
      <c r="F94" t="s">
        <v>4</v>
      </c>
      <c r="G94" s="327"/>
      <c r="H94" t="s">
        <v>5</v>
      </c>
      <c r="I94" t="s">
        <v>6</v>
      </c>
      <c r="J94" t="s">
        <v>326</v>
      </c>
      <c r="K94" s="327"/>
      <c r="N94" t="s">
        <v>426</v>
      </c>
      <c r="AB94" s="308"/>
      <c r="AC94" s="308"/>
      <c r="AD94" s="308"/>
      <c r="AE94" s="308"/>
      <c r="AF94" s="308"/>
      <c r="AG94" s="308"/>
      <c r="AH94" s="308"/>
      <c r="AI94" s="308"/>
      <c r="AJ94" s="308"/>
      <c r="AK94" s="308"/>
      <c r="AL94" s="308"/>
      <c r="AM94" s="308"/>
      <c r="AN94" s="308"/>
    </row>
    <row r="95" spans="2:40">
      <c r="B95" s="319" t="s">
        <v>27</v>
      </c>
      <c r="C95" s="2"/>
      <c r="D95" s="2"/>
      <c r="E95" s="2"/>
      <c r="F95" s="2">
        <v>263</v>
      </c>
      <c r="G95" s="2"/>
      <c r="H95" s="2">
        <v>295</v>
      </c>
      <c r="I95" s="2"/>
      <c r="J95" s="2"/>
      <c r="K95" s="2"/>
      <c r="O95" t="s">
        <v>278</v>
      </c>
      <c r="AB95" s="308"/>
      <c r="AC95" s="308"/>
      <c r="AD95" s="308"/>
      <c r="AE95" s="308"/>
      <c r="AF95" s="308"/>
      <c r="AG95" s="308"/>
      <c r="AH95" s="308"/>
      <c r="AI95" s="308"/>
      <c r="AJ95" s="308"/>
      <c r="AK95" s="308"/>
      <c r="AL95" s="308"/>
      <c r="AM95" s="308"/>
      <c r="AN95" s="308"/>
    </row>
    <row r="96" spans="2:40">
      <c r="B96" s="319" t="s">
        <v>28</v>
      </c>
      <c r="C96" s="2"/>
      <c r="D96" s="2"/>
      <c r="E96" s="2"/>
      <c r="F96" s="2">
        <v>659</v>
      </c>
      <c r="G96" s="2"/>
      <c r="H96" s="2">
        <v>740</v>
      </c>
      <c r="I96" s="2"/>
      <c r="J96" s="2"/>
      <c r="K96" s="2"/>
      <c r="AB96" s="308"/>
      <c r="AC96" s="308"/>
      <c r="AD96" s="308"/>
      <c r="AE96" s="308"/>
      <c r="AF96" s="308"/>
      <c r="AG96" s="308"/>
      <c r="AH96" s="308"/>
      <c r="AI96" s="308"/>
      <c r="AJ96" s="308"/>
      <c r="AK96" s="308"/>
      <c r="AL96" s="308"/>
      <c r="AM96" s="308"/>
      <c r="AN96" s="308"/>
    </row>
    <row r="97" spans="1:40">
      <c r="B97" s="319" t="s">
        <v>427</v>
      </c>
      <c r="C97" s="2"/>
      <c r="D97" s="2"/>
      <c r="E97" s="2"/>
      <c r="F97" s="2">
        <v>1090</v>
      </c>
      <c r="G97" s="2"/>
      <c r="H97" s="2">
        <v>776</v>
      </c>
      <c r="I97" s="2"/>
      <c r="J97" s="2"/>
      <c r="K97" s="2"/>
      <c r="AB97" s="308"/>
      <c r="AC97" s="308"/>
      <c r="AD97" s="308"/>
      <c r="AE97" s="308"/>
      <c r="AF97" s="308"/>
      <c r="AG97" s="308"/>
      <c r="AH97" s="308"/>
      <c r="AI97" s="308"/>
      <c r="AJ97" s="308"/>
      <c r="AK97" s="308"/>
      <c r="AL97" s="308"/>
      <c r="AM97" s="308"/>
      <c r="AN97" s="308"/>
    </row>
    <row r="98" spans="1:40">
      <c r="B98" s="319" t="s">
        <v>3</v>
      </c>
      <c r="C98" s="2"/>
      <c r="D98" s="2"/>
      <c r="E98" s="2"/>
      <c r="F98" s="2">
        <f>SUM(F95:F97)</f>
        <v>2012</v>
      </c>
      <c r="G98" s="2"/>
      <c r="H98" s="2">
        <f>SUM(H95:H97)</f>
        <v>1811</v>
      </c>
      <c r="I98" s="2"/>
      <c r="J98" s="2"/>
      <c r="K98" s="2"/>
      <c r="AB98" s="308"/>
      <c r="AC98" s="308"/>
      <c r="AD98" s="308"/>
      <c r="AE98" s="308"/>
      <c r="AF98" s="308"/>
      <c r="AG98" s="308"/>
      <c r="AH98" s="308"/>
      <c r="AI98" s="308"/>
      <c r="AJ98" s="308"/>
      <c r="AK98" s="308"/>
      <c r="AL98" s="308"/>
      <c r="AM98" s="308"/>
      <c r="AN98" s="308"/>
    </row>
    <row r="99" spans="1:40">
      <c r="B99" s="319"/>
      <c r="C99" s="2"/>
      <c r="D99" s="2"/>
      <c r="E99" s="2"/>
      <c r="F99" s="2"/>
      <c r="G99" s="2"/>
      <c r="H99" s="2"/>
      <c r="I99" s="2"/>
      <c r="J99" s="2"/>
      <c r="K99" s="2"/>
      <c r="AB99" s="308"/>
      <c r="AC99" s="308"/>
      <c r="AD99" s="308"/>
      <c r="AE99" s="308"/>
      <c r="AF99" s="308"/>
      <c r="AG99" s="308"/>
      <c r="AH99" s="308"/>
      <c r="AI99" s="308"/>
      <c r="AJ99" s="308"/>
      <c r="AK99" s="308"/>
      <c r="AL99" s="308"/>
      <c r="AM99" s="308"/>
      <c r="AN99" s="308"/>
    </row>
    <row r="100" spans="1:40" ht="15">
      <c r="B100" s="294" t="s">
        <v>428</v>
      </c>
      <c r="C100" s="2"/>
      <c r="D100" s="2"/>
      <c r="E100" s="2"/>
      <c r="F100" s="2">
        <f>F92-F98</f>
        <v>2811</v>
      </c>
      <c r="G100" s="2"/>
      <c r="H100" s="2">
        <f>H92-H98</f>
        <v>364</v>
      </c>
      <c r="I100" s="2">
        <f>J100-H100-F100</f>
        <v>1842</v>
      </c>
      <c r="J100" s="2">
        <v>5017</v>
      </c>
      <c r="K100" s="2"/>
      <c r="AB100" s="308"/>
      <c r="AC100" s="308"/>
      <c r="AD100" s="308"/>
      <c r="AE100" s="308"/>
      <c r="AF100" s="308"/>
      <c r="AG100" s="308"/>
      <c r="AH100" s="308"/>
      <c r="AI100" s="308"/>
      <c r="AJ100" s="308"/>
      <c r="AK100" s="308"/>
      <c r="AL100" s="308"/>
      <c r="AM100" s="308"/>
      <c r="AN100" s="308"/>
    </row>
    <row r="101" spans="1:40" ht="15">
      <c r="B101" s="328"/>
      <c r="D101" s="2"/>
      <c r="E101" s="2"/>
      <c r="F101" s="2"/>
      <c r="G101" s="2"/>
      <c r="H101" s="2"/>
      <c r="I101" s="329" t="s">
        <v>429</v>
      </c>
      <c r="J101" s="330">
        <v>0.47</v>
      </c>
      <c r="AB101" s="308"/>
      <c r="AC101" s="308"/>
      <c r="AD101" s="308"/>
      <c r="AE101" s="308"/>
      <c r="AF101" s="308"/>
      <c r="AG101" s="308"/>
      <c r="AH101" s="308"/>
      <c r="AI101" s="308"/>
      <c r="AJ101" s="308"/>
      <c r="AK101" s="308"/>
      <c r="AL101" s="308"/>
      <c r="AM101" s="308"/>
      <c r="AN101" s="308"/>
    </row>
    <row r="102" spans="1:40" ht="15">
      <c r="A102" t="s">
        <v>36</v>
      </c>
      <c r="B102" s="331" t="s">
        <v>430</v>
      </c>
      <c r="C102" s="310"/>
      <c r="D102" s="311"/>
      <c r="E102" s="311"/>
      <c r="F102" s="311"/>
      <c r="G102" s="311"/>
      <c r="H102" s="311"/>
      <c r="I102" s="311"/>
      <c r="J102" s="310" t="s">
        <v>168</v>
      </c>
      <c r="K102" s="310"/>
      <c r="N102" t="s">
        <v>431</v>
      </c>
    </row>
    <row r="103" spans="1:40">
      <c r="B103" s="319" t="s">
        <v>432</v>
      </c>
      <c r="D103" s="2"/>
      <c r="E103" s="2"/>
      <c r="F103" s="2"/>
      <c r="G103" s="2"/>
      <c r="H103" s="2"/>
      <c r="I103" s="2"/>
      <c r="J103" s="332">
        <v>9527</v>
      </c>
    </row>
    <row r="104" spans="1:40">
      <c r="B104" s="319" t="s">
        <v>433</v>
      </c>
      <c r="D104" s="2"/>
      <c r="E104" s="2"/>
      <c r="F104" s="2"/>
      <c r="G104" s="2"/>
      <c r="H104" s="2"/>
      <c r="I104" s="2"/>
      <c r="J104" s="333">
        <v>8539</v>
      </c>
    </row>
    <row r="105" spans="1:40">
      <c r="B105" s="334" t="s">
        <v>434</v>
      </c>
      <c r="D105" s="2"/>
      <c r="E105" s="2"/>
      <c r="F105" s="2"/>
      <c r="G105" s="2"/>
      <c r="H105" s="2"/>
      <c r="I105" s="319" t="s">
        <v>435</v>
      </c>
      <c r="J105">
        <v>1248</v>
      </c>
      <c r="O105" t="s">
        <v>436</v>
      </c>
    </row>
    <row r="106" spans="1:40" ht="15">
      <c r="D106" s="2"/>
      <c r="E106" s="2"/>
      <c r="F106" s="2"/>
      <c r="G106" s="2"/>
      <c r="H106" s="2"/>
      <c r="I106" s="319" t="s">
        <v>437</v>
      </c>
      <c r="J106">
        <v>680</v>
      </c>
      <c r="L106" s="84">
        <f>J105/J106</f>
        <v>1.8352941176470587</v>
      </c>
      <c r="O106" s="43" t="s">
        <v>438</v>
      </c>
    </row>
    <row r="107" spans="1:40" ht="15">
      <c r="D107" s="2"/>
      <c r="E107" s="2"/>
      <c r="F107" s="2"/>
      <c r="G107" s="2"/>
      <c r="H107" s="2"/>
      <c r="I107" s="319" t="s">
        <v>439</v>
      </c>
      <c r="J107">
        <v>368</v>
      </c>
      <c r="O107" s="43"/>
    </row>
    <row r="108" spans="1:40" ht="15">
      <c r="B108" s="328"/>
      <c r="D108" s="2"/>
      <c r="E108" s="2"/>
      <c r="F108" s="2"/>
      <c r="G108" s="2"/>
      <c r="H108" s="2"/>
      <c r="I108" s="319" t="s">
        <v>440</v>
      </c>
      <c r="J108">
        <v>100</v>
      </c>
    </row>
    <row r="109" spans="1:40" ht="15">
      <c r="B109" s="328"/>
      <c r="D109" s="2"/>
      <c r="E109" s="2"/>
      <c r="F109" s="2"/>
      <c r="G109" s="2"/>
      <c r="H109" s="2"/>
    </row>
    <row r="110" spans="1:40" ht="15">
      <c r="A110" t="s">
        <v>36</v>
      </c>
      <c r="B110" s="335" t="s">
        <v>441</v>
      </c>
      <c r="C110" s="336"/>
      <c r="D110" s="337"/>
      <c r="E110" s="337"/>
      <c r="F110" s="337"/>
      <c r="G110" s="337"/>
      <c r="H110" s="337"/>
      <c r="I110" s="337"/>
      <c r="J110" s="336"/>
      <c r="K110" s="336"/>
      <c r="N110" t="s">
        <v>442</v>
      </c>
      <c r="P110" s="105"/>
    </row>
    <row r="111" spans="1:40">
      <c r="N111" s="338">
        <v>41944</v>
      </c>
      <c r="O111" t="s">
        <v>443</v>
      </c>
    </row>
    <row r="112" spans="1:40" ht="15">
      <c r="B112" s="43" t="s">
        <v>444</v>
      </c>
      <c r="N112" s="338">
        <v>42309</v>
      </c>
      <c r="O112" t="s">
        <v>445</v>
      </c>
    </row>
    <row r="113" spans="2:15">
      <c r="B113" s="113"/>
      <c r="C113" s="339" t="s">
        <v>446</v>
      </c>
      <c r="D113" s="339" t="s">
        <v>447</v>
      </c>
      <c r="E113" s="339" t="s">
        <v>448</v>
      </c>
      <c r="F113" s="339" t="s">
        <v>449</v>
      </c>
      <c r="G113" s="339" t="s">
        <v>450</v>
      </c>
      <c r="H113" s="339" t="s">
        <v>451</v>
      </c>
      <c r="I113" s="339" t="s">
        <v>452</v>
      </c>
      <c r="J113" s="339" t="s">
        <v>453</v>
      </c>
      <c r="K113" s="339" t="s">
        <v>454</v>
      </c>
      <c r="L113" s="339" t="s">
        <v>455</v>
      </c>
      <c r="M113" s="307" t="s">
        <v>456</v>
      </c>
      <c r="N113" s="338">
        <v>42675</v>
      </c>
      <c r="O113" s="105" t="s">
        <v>457</v>
      </c>
    </row>
    <row r="114" spans="2:15">
      <c r="B114" t="s">
        <v>458</v>
      </c>
      <c r="C114" s="302">
        <v>5169</v>
      </c>
      <c r="D114" s="302">
        <v>15830</v>
      </c>
      <c r="E114" s="302">
        <v>22910</v>
      </c>
      <c r="F114" s="302">
        <v>26725</v>
      </c>
      <c r="G114" s="340">
        <v>33957</v>
      </c>
      <c r="H114" s="340">
        <v>33167</v>
      </c>
      <c r="I114" s="340">
        <v>45749</v>
      </c>
      <c r="J114" s="340">
        <v>44357</v>
      </c>
      <c r="K114" s="340">
        <v>38874</v>
      </c>
      <c r="L114" s="341">
        <v>33676</v>
      </c>
      <c r="M114" s="342">
        <v>31627</v>
      </c>
      <c r="N114" s="338">
        <v>43040</v>
      </c>
      <c r="O114" s="105" t="s">
        <v>459</v>
      </c>
    </row>
    <row r="115" spans="2:15">
      <c r="B115" t="s">
        <v>332</v>
      </c>
      <c r="C115" s="302">
        <v>185</v>
      </c>
      <c r="D115" s="302">
        <v>245</v>
      </c>
      <c r="E115" s="302">
        <v>232</v>
      </c>
      <c r="F115" s="302">
        <v>649</v>
      </c>
      <c r="G115" s="340">
        <v>1524</v>
      </c>
      <c r="H115" s="340">
        <v>1773</v>
      </c>
      <c r="I115" s="340">
        <v>1747</v>
      </c>
      <c r="J115" s="340">
        <v>1328</v>
      </c>
      <c r="K115" s="340">
        <v>1534</v>
      </c>
      <c r="L115" s="341">
        <v>571</v>
      </c>
      <c r="M115" s="342">
        <v>966</v>
      </c>
      <c r="N115" s="338">
        <v>43405</v>
      </c>
      <c r="O115" s="105" t="s">
        <v>460</v>
      </c>
    </row>
    <row r="116" spans="2:15">
      <c r="B116" t="s">
        <v>5</v>
      </c>
      <c r="C116" s="3">
        <v>95</v>
      </c>
      <c r="D116" s="302"/>
      <c r="E116" s="302"/>
      <c r="F116" s="3">
        <v>307</v>
      </c>
      <c r="G116" s="340">
        <v>541</v>
      </c>
      <c r="H116" s="340">
        <v>561</v>
      </c>
      <c r="I116" s="340">
        <v>767</v>
      </c>
      <c r="J116" s="340">
        <v>1929</v>
      </c>
      <c r="K116" s="3">
        <v>1362</v>
      </c>
      <c r="L116" s="341">
        <v>1652</v>
      </c>
      <c r="M116" s="342">
        <v>2019</v>
      </c>
      <c r="N116" s="343">
        <v>43770</v>
      </c>
      <c r="O116" s="105" t="s">
        <v>461</v>
      </c>
    </row>
    <row r="117" spans="2:15">
      <c r="B117" t="s">
        <v>462</v>
      </c>
      <c r="C117" s="302"/>
      <c r="D117" s="3">
        <v>148</v>
      </c>
      <c r="E117" s="3">
        <v>109</v>
      </c>
      <c r="F117" s="3">
        <v>278</v>
      </c>
      <c r="G117" s="340">
        <v>448</v>
      </c>
      <c r="H117" s="3"/>
      <c r="I117" s="3"/>
      <c r="J117" s="3">
        <v>909</v>
      </c>
      <c r="K117" s="3">
        <v>560</v>
      </c>
      <c r="L117" s="341">
        <v>517</v>
      </c>
      <c r="M117" s="342">
        <v>1513</v>
      </c>
      <c r="N117" s="343">
        <v>44136</v>
      </c>
      <c r="O117" s="105" t="s">
        <v>463</v>
      </c>
    </row>
    <row r="118" spans="2:15">
      <c r="B118" t="s">
        <v>464</v>
      </c>
      <c r="C118" s="302">
        <v>101</v>
      </c>
      <c r="D118" s="302">
        <v>254</v>
      </c>
      <c r="E118" s="302">
        <v>447</v>
      </c>
      <c r="F118" s="302">
        <v>423</v>
      </c>
      <c r="G118" s="340">
        <v>329</v>
      </c>
      <c r="H118" s="340">
        <v>249</v>
      </c>
      <c r="I118" s="340">
        <v>775</v>
      </c>
      <c r="J118" s="3">
        <v>866</v>
      </c>
      <c r="K118" s="3">
        <v>688</v>
      </c>
      <c r="L118" s="341">
        <v>575</v>
      </c>
      <c r="M118" s="342">
        <v>804</v>
      </c>
      <c r="N118" s="343">
        <v>44501</v>
      </c>
      <c r="O118" s="105" t="s">
        <v>465</v>
      </c>
    </row>
    <row r="119" spans="2:15">
      <c r="B119" t="s">
        <v>466</v>
      </c>
      <c r="C119" s="3">
        <v>97</v>
      </c>
      <c r="D119" s="3">
        <v>158</v>
      </c>
      <c r="E119" s="3">
        <v>106</v>
      </c>
      <c r="F119" s="302"/>
      <c r="G119" s="302"/>
      <c r="H119" s="3"/>
      <c r="I119" s="3"/>
      <c r="J119" s="340"/>
      <c r="L119" s="341"/>
      <c r="M119" s="344"/>
      <c r="O119" s="105" t="s">
        <v>467</v>
      </c>
    </row>
    <row r="120" spans="2:15">
      <c r="B120" t="s">
        <v>334</v>
      </c>
      <c r="C120" s="3"/>
      <c r="D120" s="3"/>
      <c r="E120" s="3"/>
      <c r="F120" s="302"/>
      <c r="G120" s="302"/>
      <c r="H120" s="340">
        <v>201</v>
      </c>
      <c r="I120" s="340">
        <v>246</v>
      </c>
      <c r="J120" s="3"/>
      <c r="L120" s="341"/>
      <c r="M120" s="342">
        <v>283</v>
      </c>
      <c r="N120" s="343">
        <v>44866</v>
      </c>
      <c r="O120" s="105" t="s">
        <v>468</v>
      </c>
    </row>
    <row r="121" spans="2:15">
      <c r="B121" t="s">
        <v>469</v>
      </c>
      <c r="C121" s="302">
        <f>701+70</f>
        <v>771</v>
      </c>
      <c r="D121" s="302">
        <v>1027</v>
      </c>
      <c r="E121" s="3">
        <v>825</v>
      </c>
      <c r="F121" s="3">
        <v>1877</v>
      </c>
      <c r="G121" s="340">
        <v>2202</v>
      </c>
      <c r="H121" s="340">
        <v>1139</v>
      </c>
      <c r="I121" s="340">
        <v>1652</v>
      </c>
      <c r="J121" s="340">
        <v>2947</v>
      </c>
      <c r="K121" s="3">
        <v>2480</v>
      </c>
      <c r="L121" s="341">
        <v>2892</v>
      </c>
      <c r="M121" s="344">
        <f>M122-SUM(M114:M120)</f>
        <v>2563</v>
      </c>
      <c r="N121" s="343">
        <v>45231</v>
      </c>
      <c r="O121" s="105" t="s">
        <v>470</v>
      </c>
    </row>
    <row r="122" spans="2:15">
      <c r="B122" t="s">
        <v>471</v>
      </c>
      <c r="C122" s="3">
        <v>6418</v>
      </c>
      <c r="D122" s="302">
        <v>17662</v>
      </c>
      <c r="E122" s="302">
        <f>SUM(E114:E121)</f>
        <v>24629</v>
      </c>
      <c r="F122" s="302">
        <f>SUM(F114:F121)</f>
        <v>30259</v>
      </c>
      <c r="G122" s="302">
        <f>SUM(G114:G121)</f>
        <v>39001</v>
      </c>
      <c r="H122" s="302">
        <v>37090</v>
      </c>
      <c r="I122" s="3">
        <v>50936</v>
      </c>
      <c r="J122" s="3">
        <f>SUM(J114:J121)</f>
        <v>52336</v>
      </c>
      <c r="K122" s="2">
        <f>SUM(K114:K121)</f>
        <v>45498</v>
      </c>
      <c r="L122" s="341">
        <v>39883</v>
      </c>
      <c r="M122" s="342">
        <v>39775</v>
      </c>
      <c r="N122" s="343">
        <v>45413</v>
      </c>
      <c r="O122" s="345" t="s">
        <v>279</v>
      </c>
    </row>
    <row r="123" spans="2:15">
      <c r="C123" s="3"/>
      <c r="D123" s="302"/>
      <c r="E123" s="302"/>
      <c r="F123" s="302"/>
      <c r="G123" s="302"/>
      <c r="H123" s="302"/>
      <c r="I123" s="3"/>
      <c r="J123" s="3"/>
      <c r="K123" s="2"/>
      <c r="L123" s="341"/>
      <c r="M123" s="341"/>
      <c r="O123" s="346" t="s">
        <v>268</v>
      </c>
    </row>
    <row r="124" spans="2:15" ht="15">
      <c r="B124" t="s">
        <v>472</v>
      </c>
      <c r="C124" s="3">
        <f>C122-C114-C116</f>
        <v>1154</v>
      </c>
      <c r="D124" s="3">
        <f t="shared" ref="D124:J124" si="15">D122-D114-D116</f>
        <v>1832</v>
      </c>
      <c r="E124" s="3">
        <f t="shared" si="15"/>
        <v>1719</v>
      </c>
      <c r="F124" s="3">
        <f t="shared" si="15"/>
        <v>3227</v>
      </c>
      <c r="G124" s="3">
        <f t="shared" si="15"/>
        <v>4503</v>
      </c>
      <c r="H124" s="3">
        <f t="shared" si="15"/>
        <v>3362</v>
      </c>
      <c r="I124" s="3">
        <f t="shared" si="15"/>
        <v>4420</v>
      </c>
      <c r="J124" s="3">
        <f t="shared" si="15"/>
        <v>6050</v>
      </c>
      <c r="K124" s="3">
        <f>K122-K114-K116</f>
        <v>5262</v>
      </c>
      <c r="L124" s="341">
        <f>L122-L114-L116</f>
        <v>4555</v>
      </c>
      <c r="M124" s="341">
        <f>M122-M114-M116</f>
        <v>6129</v>
      </c>
      <c r="O124" s="347"/>
    </row>
    <row r="125" spans="2:15">
      <c r="C125" s="3"/>
      <c r="D125" s="3"/>
      <c r="E125" s="3"/>
      <c r="F125" s="3"/>
      <c r="G125" s="3"/>
      <c r="H125" s="3"/>
      <c r="I125" s="3"/>
      <c r="J125" s="3"/>
      <c r="K125" s="3"/>
      <c r="L125" s="3"/>
      <c r="M125" s="306"/>
    </row>
    <row r="126" spans="2:15" ht="15">
      <c r="B126" s="43" t="s">
        <v>473</v>
      </c>
      <c r="C126" s="314"/>
      <c r="D126" s="314"/>
      <c r="E126" s="314"/>
      <c r="F126" s="314"/>
      <c r="G126" s="314"/>
      <c r="H126" s="314"/>
      <c r="I126" s="314"/>
      <c r="J126" s="314"/>
      <c r="K126" s="314"/>
      <c r="L126" s="4">
        <f>L115/L122</f>
        <v>1.4316876864829627E-2</v>
      </c>
      <c r="M126" s="306"/>
    </row>
    <row r="127" spans="2:15" ht="15">
      <c r="B127" s="43" t="s">
        <v>474</v>
      </c>
      <c r="C127" s="314"/>
      <c r="D127" s="314"/>
      <c r="E127" s="314"/>
      <c r="F127" s="314"/>
      <c r="G127" s="314"/>
      <c r="H127" s="314"/>
      <c r="I127" s="314"/>
      <c r="J127" s="314"/>
      <c r="K127" s="314"/>
      <c r="L127" s="314"/>
      <c r="M127" s="306"/>
    </row>
    <row r="128" spans="2:15">
      <c r="B128" s="348" t="s">
        <v>475</v>
      </c>
      <c r="C128" s="314"/>
      <c r="D128" s="314"/>
      <c r="E128" s="314"/>
      <c r="F128" s="314"/>
      <c r="G128" s="314"/>
      <c r="H128" s="314"/>
      <c r="I128" s="314"/>
      <c r="J128" s="314"/>
      <c r="K128" s="314"/>
      <c r="L128" s="314"/>
      <c r="M128" s="306"/>
    </row>
    <row r="129" spans="2:16" ht="15">
      <c r="B129" s="43"/>
      <c r="C129" s="314"/>
      <c r="D129" s="314"/>
      <c r="E129" s="314"/>
      <c r="F129" s="314"/>
      <c r="G129" s="314"/>
      <c r="H129" s="314"/>
      <c r="I129" s="314"/>
      <c r="J129" s="314"/>
      <c r="K129" s="314"/>
      <c r="L129" s="314"/>
      <c r="M129" s="306"/>
    </row>
    <row r="130" spans="2:16">
      <c r="C130" s="314" t="s">
        <v>476</v>
      </c>
      <c r="D130" s="314"/>
      <c r="E130" s="314"/>
      <c r="F130" s="314"/>
      <c r="G130" s="314"/>
      <c r="H130" s="314"/>
      <c r="I130" s="314"/>
      <c r="J130" s="314"/>
      <c r="K130" s="314"/>
      <c r="L130" s="314"/>
      <c r="M130" s="306"/>
    </row>
    <row r="131" spans="2:16">
      <c r="C131" s="314" t="s">
        <v>477</v>
      </c>
      <c r="D131" s="314"/>
      <c r="E131" s="314"/>
      <c r="F131" s="314"/>
      <c r="G131" s="314"/>
      <c r="H131" s="314"/>
      <c r="I131" s="314"/>
      <c r="J131" s="314"/>
      <c r="K131" s="314"/>
      <c r="L131" s="314"/>
      <c r="M131" s="306"/>
    </row>
    <row r="132" spans="2:16">
      <c r="B132" t="s">
        <v>478</v>
      </c>
      <c r="C132" s="314" t="s">
        <v>479</v>
      </c>
      <c r="D132" s="314">
        <v>2015</v>
      </c>
      <c r="E132" s="314">
        <v>2016</v>
      </c>
      <c r="F132" s="314">
        <v>2017</v>
      </c>
      <c r="G132" s="314">
        <v>2018</v>
      </c>
      <c r="H132" s="314">
        <v>2019</v>
      </c>
      <c r="I132" s="314">
        <v>2020</v>
      </c>
      <c r="J132" s="314">
        <v>2021</v>
      </c>
      <c r="K132" s="314">
        <v>2022</v>
      </c>
      <c r="L132" s="307">
        <v>2023</v>
      </c>
      <c r="M132" s="314" t="s">
        <v>3</v>
      </c>
      <c r="N132" t="s">
        <v>480</v>
      </c>
      <c r="O132" s="343">
        <v>45231</v>
      </c>
      <c r="P132" s="345" t="s">
        <v>279</v>
      </c>
    </row>
    <row r="133" spans="2:16">
      <c r="B133" t="s">
        <v>481</v>
      </c>
      <c r="C133" s="314">
        <v>588</v>
      </c>
      <c r="D133" s="349">
        <v>8570</v>
      </c>
      <c r="E133" s="349">
        <v>14590</v>
      </c>
      <c r="F133" s="349">
        <v>6860</v>
      </c>
      <c r="G133" s="314">
        <v>604</v>
      </c>
      <c r="H133" s="314">
        <v>31</v>
      </c>
      <c r="I133" s="314" t="s">
        <v>291</v>
      </c>
      <c r="J133" s="314" t="s">
        <v>291</v>
      </c>
      <c r="K133" s="314">
        <v>182</v>
      </c>
      <c r="L133" s="307">
        <v>202</v>
      </c>
      <c r="M133" s="349">
        <v>31627</v>
      </c>
      <c r="N133" s="3">
        <f>SUM(C133:J133)</f>
        <v>31243</v>
      </c>
      <c r="P133" s="346" t="s">
        <v>268</v>
      </c>
    </row>
    <row r="134" spans="2:16" ht="15">
      <c r="B134" t="s">
        <v>5</v>
      </c>
      <c r="C134" s="314">
        <v>26</v>
      </c>
      <c r="D134" s="314" t="s">
        <v>291</v>
      </c>
      <c r="E134" s="314">
        <v>25</v>
      </c>
      <c r="F134" s="314">
        <v>131</v>
      </c>
      <c r="G134" s="314">
        <v>750</v>
      </c>
      <c r="H134" s="314">
        <v>902</v>
      </c>
      <c r="I134" s="314">
        <v>4</v>
      </c>
      <c r="J134" s="314">
        <v>44</v>
      </c>
      <c r="K134" s="314">
        <v>105</v>
      </c>
      <c r="L134" s="307">
        <v>32</v>
      </c>
      <c r="M134" s="349">
        <v>2019</v>
      </c>
      <c r="N134" s="3">
        <f>SUM(C134:J134)</f>
        <v>1882</v>
      </c>
      <c r="O134">
        <f>SUM(C134:H134)</f>
        <v>1834</v>
      </c>
      <c r="P134" s="347"/>
    </row>
    <row r="135" spans="2:16">
      <c r="B135" t="s">
        <v>333</v>
      </c>
      <c r="C135" s="314">
        <v>83</v>
      </c>
      <c r="D135" s="314" t="s">
        <v>291</v>
      </c>
      <c r="E135" s="314">
        <v>4</v>
      </c>
      <c r="F135" s="314">
        <v>13</v>
      </c>
      <c r="G135" s="314">
        <v>92</v>
      </c>
      <c r="H135" s="349">
        <v>1220</v>
      </c>
      <c r="I135" s="314" t="s">
        <v>291</v>
      </c>
      <c r="J135" s="314">
        <v>5</v>
      </c>
      <c r="K135" s="314">
        <v>81</v>
      </c>
      <c r="L135" s="307">
        <v>15</v>
      </c>
      <c r="M135" s="349">
        <v>1513</v>
      </c>
    </row>
    <row r="136" spans="2:16">
      <c r="B136" t="s">
        <v>332</v>
      </c>
      <c r="C136" s="314">
        <v>7</v>
      </c>
      <c r="D136" s="314">
        <v>1</v>
      </c>
      <c r="E136" s="314">
        <v>39</v>
      </c>
      <c r="F136" s="314">
        <v>191</v>
      </c>
      <c r="G136" s="314">
        <v>286</v>
      </c>
      <c r="H136" s="314">
        <v>369</v>
      </c>
      <c r="I136" s="314" t="s">
        <v>291</v>
      </c>
      <c r="J136" s="314">
        <v>1</v>
      </c>
      <c r="K136" s="314">
        <v>59</v>
      </c>
      <c r="L136" s="307">
        <v>13</v>
      </c>
      <c r="M136" s="314">
        <v>966</v>
      </c>
    </row>
    <row r="137" spans="2:16">
      <c r="B137" t="s">
        <v>335</v>
      </c>
      <c r="C137" s="314">
        <v>40</v>
      </c>
      <c r="D137" s="314">
        <v>1</v>
      </c>
      <c r="E137" s="314">
        <v>37</v>
      </c>
      <c r="F137" s="314">
        <v>77</v>
      </c>
      <c r="G137" s="314">
        <v>162</v>
      </c>
      <c r="H137" s="314">
        <v>392</v>
      </c>
      <c r="I137" s="314" t="s">
        <v>291</v>
      </c>
      <c r="J137" s="314" t="s">
        <v>291</v>
      </c>
      <c r="K137" s="314">
        <v>69</v>
      </c>
      <c r="L137" s="307">
        <v>26</v>
      </c>
      <c r="M137" s="314">
        <v>804</v>
      </c>
    </row>
    <row r="138" spans="2:16">
      <c r="B138" t="s">
        <v>482</v>
      </c>
      <c r="C138" s="314">
        <v>2</v>
      </c>
      <c r="D138" s="314">
        <v>1</v>
      </c>
      <c r="E138" s="314" t="s">
        <v>291</v>
      </c>
      <c r="F138" s="314">
        <v>13</v>
      </c>
      <c r="G138" s="314">
        <v>67</v>
      </c>
      <c r="H138" s="314">
        <v>233</v>
      </c>
      <c r="I138" s="314" t="s">
        <v>291</v>
      </c>
      <c r="J138" s="314" t="s">
        <v>291</v>
      </c>
      <c r="K138" s="314">
        <v>8</v>
      </c>
      <c r="L138" s="307" t="s">
        <v>291</v>
      </c>
      <c r="M138" s="314">
        <v>324</v>
      </c>
    </row>
    <row r="139" spans="2:16">
      <c r="B139" t="s">
        <v>334</v>
      </c>
      <c r="C139" s="314">
        <v>3</v>
      </c>
      <c r="D139" s="314">
        <v>1</v>
      </c>
      <c r="E139" s="314">
        <v>8</v>
      </c>
      <c r="F139" s="314">
        <v>44</v>
      </c>
      <c r="G139" s="314">
        <v>70</v>
      </c>
      <c r="H139" s="314">
        <v>153</v>
      </c>
      <c r="I139" s="314" t="s">
        <v>291</v>
      </c>
      <c r="J139" s="314" t="s">
        <v>291</v>
      </c>
      <c r="K139" s="314" t="s">
        <v>291</v>
      </c>
      <c r="L139" s="307">
        <v>4</v>
      </c>
      <c r="M139" s="314">
        <v>283</v>
      </c>
    </row>
    <row r="140" spans="2:16">
      <c r="B140" t="s">
        <v>272</v>
      </c>
      <c r="C140" s="314">
        <v>141</v>
      </c>
      <c r="D140" s="314">
        <v>53</v>
      </c>
      <c r="E140" s="314">
        <v>81</v>
      </c>
      <c r="F140" s="314">
        <v>256</v>
      </c>
      <c r="G140" s="314">
        <v>480</v>
      </c>
      <c r="H140" s="349">
        <v>1047</v>
      </c>
      <c r="I140" s="314">
        <v>5</v>
      </c>
      <c r="J140" s="314">
        <v>33</v>
      </c>
      <c r="K140" s="314">
        <v>102</v>
      </c>
      <c r="L140" s="307">
        <v>41</v>
      </c>
      <c r="M140" s="349">
        <v>2239</v>
      </c>
      <c r="N140" s="2">
        <f>N141-N133-N134</f>
        <v>5711</v>
      </c>
    </row>
    <row r="141" spans="2:16">
      <c r="B141" t="s">
        <v>3</v>
      </c>
      <c r="C141" s="314">
        <v>890</v>
      </c>
      <c r="D141" s="349">
        <v>8627</v>
      </c>
      <c r="E141" s="349">
        <v>14784</v>
      </c>
      <c r="F141" s="349">
        <v>7585</v>
      </c>
      <c r="G141" s="349">
        <v>2511</v>
      </c>
      <c r="H141" s="349">
        <v>4347</v>
      </c>
      <c r="I141" s="314">
        <v>9</v>
      </c>
      <c r="J141" s="314">
        <v>83</v>
      </c>
      <c r="K141" s="314">
        <v>606</v>
      </c>
      <c r="L141" s="307">
        <v>333</v>
      </c>
      <c r="M141" s="349">
        <v>39775</v>
      </c>
      <c r="N141" s="3">
        <f>SUM(C141:J141)</f>
        <v>38836</v>
      </c>
    </row>
    <row r="142" spans="2:16">
      <c r="C142" s="314"/>
      <c r="D142" s="349"/>
      <c r="E142" s="349"/>
      <c r="F142" s="349"/>
      <c r="G142" s="349"/>
      <c r="H142" s="349"/>
      <c r="I142" s="314"/>
      <c r="J142" s="314"/>
      <c r="K142" s="314"/>
      <c r="L142" s="307"/>
      <c r="M142" s="349"/>
    </row>
    <row r="143" spans="2:16">
      <c r="B143" t="s">
        <v>483</v>
      </c>
      <c r="C143" s="314"/>
      <c r="D143" s="349"/>
      <c r="E143" s="349"/>
      <c r="F143" s="349"/>
      <c r="G143" s="349"/>
      <c r="H143" s="349"/>
      <c r="I143" s="314"/>
      <c r="J143" s="314"/>
      <c r="K143" s="314"/>
      <c r="L143" s="307"/>
      <c r="M143" s="349"/>
    </row>
    <row r="144" spans="2:16">
      <c r="B144" t="s">
        <v>484</v>
      </c>
      <c r="C144" s="3"/>
      <c r="D144" s="3"/>
      <c r="E144" s="3"/>
      <c r="F144" s="3"/>
      <c r="G144" s="3"/>
      <c r="H144" s="3"/>
      <c r="I144" s="3"/>
      <c r="J144" s="3"/>
      <c r="K144" s="3"/>
      <c r="L144" s="3"/>
      <c r="M144" s="306"/>
    </row>
    <row r="145" spans="1:14">
      <c r="C145" s="3"/>
      <c r="D145" s="302"/>
      <c r="E145" s="302"/>
      <c r="F145" s="302"/>
      <c r="G145" s="302"/>
      <c r="H145" s="302"/>
      <c r="I145" s="3"/>
      <c r="J145" s="3"/>
      <c r="K145" s="2"/>
      <c r="M145" s="306"/>
    </row>
    <row r="146" spans="1:14" ht="15">
      <c r="A146" t="s">
        <v>36</v>
      </c>
      <c r="B146" s="122" t="s">
        <v>485</v>
      </c>
      <c r="C146" s="26"/>
      <c r="D146" s="26"/>
      <c r="E146" s="26"/>
      <c r="F146" s="26"/>
      <c r="G146" s="26"/>
      <c r="H146" s="26"/>
      <c r="I146" s="26"/>
      <c r="J146" s="26"/>
      <c r="K146" s="26"/>
      <c r="M146" s="306"/>
    </row>
    <row r="147" spans="1:14" ht="15">
      <c r="B147" s="43"/>
      <c r="M147" s="306"/>
    </row>
    <row r="148" spans="1:14" ht="15">
      <c r="B148" s="43" t="s">
        <v>486</v>
      </c>
      <c r="G148" s="1" t="s">
        <v>487</v>
      </c>
      <c r="M148" s="306"/>
    </row>
    <row r="149" spans="1:14">
      <c r="B149" t="s">
        <v>488</v>
      </c>
      <c r="G149" t="s">
        <v>488</v>
      </c>
      <c r="L149" t="s">
        <v>431</v>
      </c>
      <c r="M149" s="105" t="s">
        <v>489</v>
      </c>
    </row>
    <row r="150" spans="1:14">
      <c r="C150" t="s">
        <v>4</v>
      </c>
      <c r="D150" t="s">
        <v>5</v>
      </c>
      <c r="E150" t="s">
        <v>6</v>
      </c>
      <c r="F150" t="s">
        <v>3</v>
      </c>
      <c r="H150" t="s">
        <v>4</v>
      </c>
      <c r="I150" t="s">
        <v>5</v>
      </c>
      <c r="J150" t="s">
        <v>6</v>
      </c>
      <c r="K150" t="s">
        <v>3</v>
      </c>
      <c r="M150" s="306" t="s">
        <v>490</v>
      </c>
    </row>
    <row r="151" spans="1:14">
      <c r="B151" t="s">
        <v>491</v>
      </c>
      <c r="C151" s="2">
        <v>2533</v>
      </c>
      <c r="D151" s="2">
        <v>866</v>
      </c>
      <c r="E151" s="2">
        <v>1224</v>
      </c>
      <c r="F151" s="2">
        <f>SUM(C151:E151)</f>
        <v>4623</v>
      </c>
      <c r="G151" t="s">
        <v>491</v>
      </c>
      <c r="H151" s="2">
        <v>2756</v>
      </c>
      <c r="I151" s="2">
        <v>718</v>
      </c>
      <c r="J151" s="2">
        <v>1182</v>
      </c>
      <c r="K151" s="2">
        <f>SUM(H151:J151)</f>
        <v>4656</v>
      </c>
      <c r="M151" s="306"/>
    </row>
    <row r="152" spans="1:14">
      <c r="B152" t="s">
        <v>492</v>
      </c>
      <c r="C152">
        <v>20</v>
      </c>
      <c r="D152">
        <v>38</v>
      </c>
      <c r="E152">
        <v>90</v>
      </c>
      <c r="F152" s="2">
        <f t="shared" ref="F152:F155" si="16">SUM(C152:E152)</f>
        <v>148</v>
      </c>
      <c r="G152" t="s">
        <v>492</v>
      </c>
      <c r="H152">
        <v>19</v>
      </c>
      <c r="I152">
        <v>39</v>
      </c>
      <c r="J152">
        <v>105</v>
      </c>
      <c r="K152" s="2">
        <f t="shared" ref="K152:K155" si="17">SUM(H152:J152)</f>
        <v>163</v>
      </c>
      <c r="M152" s="306"/>
    </row>
    <row r="153" spans="1:14">
      <c r="B153" t="s">
        <v>493</v>
      </c>
      <c r="C153">
        <v>10</v>
      </c>
      <c r="D153">
        <v>10</v>
      </c>
      <c r="E153">
        <v>10</v>
      </c>
      <c r="F153" s="2">
        <f t="shared" si="16"/>
        <v>30</v>
      </c>
      <c r="G153" t="s">
        <v>493</v>
      </c>
      <c r="H153">
        <v>10</v>
      </c>
      <c r="I153">
        <v>10</v>
      </c>
      <c r="J153">
        <v>10</v>
      </c>
      <c r="K153" s="2">
        <f t="shared" si="17"/>
        <v>30</v>
      </c>
      <c r="M153" s="306"/>
    </row>
    <row r="154" spans="1:14">
      <c r="B154" t="s">
        <v>494</v>
      </c>
      <c r="C154">
        <f>C153*C152</f>
        <v>200</v>
      </c>
      <c r="D154">
        <f t="shared" ref="D154:E154" si="18">D153*D152</f>
        <v>380</v>
      </c>
      <c r="E154">
        <f t="shared" si="18"/>
        <v>900</v>
      </c>
      <c r="F154" s="2">
        <f t="shared" si="16"/>
        <v>1480</v>
      </c>
      <c r="G154" t="s">
        <v>494</v>
      </c>
      <c r="H154">
        <f>H153*H152</f>
        <v>190</v>
      </c>
      <c r="I154">
        <f t="shared" ref="I154:J154" si="19">I153*I152</f>
        <v>390</v>
      </c>
      <c r="J154">
        <f t="shared" si="19"/>
        <v>1050</v>
      </c>
      <c r="K154" s="2">
        <f t="shared" si="17"/>
        <v>1630</v>
      </c>
      <c r="M154" s="306"/>
    </row>
    <row r="155" spans="1:14">
      <c r="B155" t="s">
        <v>495</v>
      </c>
      <c r="C155" s="2">
        <f>C151+C154</f>
        <v>2733</v>
      </c>
      <c r="D155" s="2">
        <f t="shared" ref="D155:E155" si="20">D151+D154</f>
        <v>1246</v>
      </c>
      <c r="E155" s="2">
        <f t="shared" si="20"/>
        <v>2124</v>
      </c>
      <c r="F155" s="2">
        <f t="shared" si="16"/>
        <v>6103</v>
      </c>
      <c r="G155" t="s">
        <v>495</v>
      </c>
      <c r="H155" s="2">
        <f>H151+H154</f>
        <v>2946</v>
      </c>
      <c r="I155" s="2">
        <f t="shared" ref="I155:J155" si="21">I151+I154</f>
        <v>1108</v>
      </c>
      <c r="J155" s="2">
        <f t="shared" si="21"/>
        <v>2232</v>
      </c>
      <c r="K155" s="2">
        <f t="shared" si="17"/>
        <v>6286</v>
      </c>
      <c r="M155" s="306"/>
    </row>
    <row r="156" spans="1:14">
      <c r="M156" s="306"/>
    </row>
    <row r="157" spans="1:14" ht="15">
      <c r="B157" s="43" t="s">
        <v>486</v>
      </c>
      <c r="G157" s="1" t="s">
        <v>487</v>
      </c>
      <c r="L157" s="2"/>
      <c r="M157" s="2"/>
      <c r="N157" s="2"/>
    </row>
    <row r="158" spans="1:14" ht="15">
      <c r="B158" s="43"/>
      <c r="L158" s="2"/>
      <c r="M158" s="2"/>
      <c r="N158" s="2"/>
    </row>
    <row r="159" spans="1:14">
      <c r="B159" t="s">
        <v>496</v>
      </c>
      <c r="C159" s="293" t="s">
        <v>4</v>
      </c>
      <c r="D159" s="293" t="s">
        <v>5</v>
      </c>
      <c r="E159" s="293" t="s">
        <v>469</v>
      </c>
      <c r="F159" s="293" t="s">
        <v>3</v>
      </c>
      <c r="G159" t="s">
        <v>496</v>
      </c>
      <c r="H159" t="s">
        <v>4</v>
      </c>
      <c r="I159" t="s">
        <v>5</v>
      </c>
      <c r="J159" t="s">
        <v>469</v>
      </c>
      <c r="K159" t="s">
        <v>3</v>
      </c>
      <c r="M159" s="315"/>
      <c r="N159" s="315"/>
    </row>
    <row r="160" spans="1:14">
      <c r="B160" s="129">
        <v>2015</v>
      </c>
      <c r="C160" s="2">
        <v>195</v>
      </c>
      <c r="D160" s="2">
        <v>0</v>
      </c>
      <c r="E160" s="2">
        <v>0</v>
      </c>
      <c r="F160" s="2">
        <f>SUM(C160:E160)</f>
        <v>195</v>
      </c>
      <c r="G160" t="s">
        <v>497</v>
      </c>
      <c r="H160" s="2">
        <v>251</v>
      </c>
      <c r="I160" s="2">
        <v>0</v>
      </c>
      <c r="J160" s="2">
        <v>0</v>
      </c>
      <c r="K160" s="2">
        <v>251</v>
      </c>
      <c r="M160" s="315"/>
      <c r="N160" s="315"/>
    </row>
    <row r="161" spans="2:16">
      <c r="B161" s="129">
        <v>2016</v>
      </c>
      <c r="C161" s="2">
        <v>2338</v>
      </c>
      <c r="D161" s="2">
        <v>0</v>
      </c>
      <c r="E161" s="2">
        <v>0</v>
      </c>
      <c r="F161" s="2">
        <f t="shared" ref="F161:F170" si="22">SUM(C161:E161)</f>
        <v>2338</v>
      </c>
      <c r="G161">
        <v>2016</v>
      </c>
      <c r="H161" s="2">
        <v>2505</v>
      </c>
      <c r="I161" s="2">
        <v>0</v>
      </c>
      <c r="J161" s="2">
        <v>0</v>
      </c>
      <c r="K161" s="2">
        <v>2505</v>
      </c>
      <c r="M161" s="315"/>
      <c r="N161" s="315"/>
    </row>
    <row r="162" spans="2:16">
      <c r="B162" s="129">
        <v>2017</v>
      </c>
      <c r="C162" s="2">
        <v>0</v>
      </c>
      <c r="D162" s="2">
        <v>0</v>
      </c>
      <c r="E162" s="2">
        <v>23</v>
      </c>
      <c r="F162" s="2">
        <f t="shared" si="22"/>
        <v>23</v>
      </c>
      <c r="G162">
        <v>2017</v>
      </c>
      <c r="H162" s="2">
        <v>0</v>
      </c>
      <c r="I162" s="2">
        <v>0</v>
      </c>
      <c r="J162" s="2">
        <v>12</v>
      </c>
      <c r="K162" s="2">
        <v>12</v>
      </c>
      <c r="M162" s="315"/>
      <c r="N162" s="315"/>
    </row>
    <row r="163" spans="2:16">
      <c r="B163" s="129">
        <v>2018</v>
      </c>
      <c r="C163" s="2">
        <v>0</v>
      </c>
      <c r="D163" s="2">
        <v>39</v>
      </c>
      <c r="E163" s="2">
        <v>21</v>
      </c>
      <c r="F163" s="2">
        <f t="shared" si="22"/>
        <v>60</v>
      </c>
      <c r="G163">
        <v>2018</v>
      </c>
      <c r="H163" s="2">
        <v>0</v>
      </c>
      <c r="I163" s="2">
        <v>27</v>
      </c>
      <c r="J163" s="2">
        <v>21</v>
      </c>
      <c r="K163" s="2">
        <v>48</v>
      </c>
      <c r="M163" s="315"/>
      <c r="N163" s="315"/>
    </row>
    <row r="164" spans="2:16">
      <c r="B164" s="129">
        <v>2019</v>
      </c>
      <c r="C164" s="2">
        <v>0</v>
      </c>
      <c r="D164" s="2">
        <v>475</v>
      </c>
      <c r="E164" s="2">
        <v>821</v>
      </c>
      <c r="F164" s="2">
        <f t="shared" si="22"/>
        <v>1296</v>
      </c>
      <c r="G164">
        <v>2019</v>
      </c>
      <c r="H164" s="2">
        <v>0</v>
      </c>
      <c r="I164" s="2">
        <v>339</v>
      </c>
      <c r="J164" s="2">
        <v>706</v>
      </c>
      <c r="K164" s="2">
        <v>1045</v>
      </c>
      <c r="M164" s="315"/>
      <c r="N164" s="315"/>
    </row>
    <row r="165" spans="2:16">
      <c r="B165" s="129">
        <v>2020</v>
      </c>
      <c r="C165" s="2">
        <v>0</v>
      </c>
      <c r="D165" s="2">
        <v>0</v>
      </c>
      <c r="E165" s="2">
        <v>12</v>
      </c>
      <c r="F165" s="2">
        <f t="shared" si="22"/>
        <v>12</v>
      </c>
      <c r="G165">
        <v>2020</v>
      </c>
      <c r="H165" s="2">
        <v>0</v>
      </c>
      <c r="I165" s="2">
        <v>0</v>
      </c>
      <c r="J165" s="2">
        <v>72</v>
      </c>
      <c r="K165" s="2">
        <v>72</v>
      </c>
      <c r="M165" s="315"/>
      <c r="N165" s="315"/>
    </row>
    <row r="166" spans="2:16">
      <c r="B166" s="129">
        <v>2021</v>
      </c>
      <c r="C166" s="2">
        <v>0</v>
      </c>
      <c r="D166" s="2">
        <v>194</v>
      </c>
      <c r="E166" s="350">
        <v>217</v>
      </c>
      <c r="F166" s="2">
        <f t="shared" si="22"/>
        <v>411</v>
      </c>
      <c r="G166">
        <v>2021</v>
      </c>
      <c r="H166" s="2">
        <v>0</v>
      </c>
      <c r="I166" s="2">
        <v>191</v>
      </c>
      <c r="J166" s="2">
        <v>248</v>
      </c>
      <c r="K166" s="2">
        <v>439</v>
      </c>
      <c r="M166" s="315"/>
      <c r="N166" s="315"/>
    </row>
    <row r="167" spans="2:16">
      <c r="B167" s="351">
        <v>2022</v>
      </c>
      <c r="C167" s="2">
        <v>0</v>
      </c>
      <c r="D167" s="2">
        <v>158</v>
      </c>
      <c r="E167" s="350">
        <v>117</v>
      </c>
      <c r="F167" s="2">
        <f t="shared" si="22"/>
        <v>275</v>
      </c>
      <c r="G167">
        <v>2022</v>
      </c>
      <c r="H167" s="2">
        <v>0</v>
      </c>
      <c r="I167" s="2">
        <v>161</v>
      </c>
      <c r="J167" s="2">
        <v>31</v>
      </c>
      <c r="K167" s="2">
        <v>192</v>
      </c>
      <c r="M167" s="315"/>
      <c r="N167" s="315"/>
      <c r="P167" s="352"/>
    </row>
    <row r="168" spans="2:16">
      <c r="B168" s="351">
        <v>2023</v>
      </c>
      <c r="C168" s="2">
        <v>0</v>
      </c>
      <c r="D168" s="2">
        <v>0</v>
      </c>
      <c r="E168" s="350">
        <v>13</v>
      </c>
      <c r="F168" s="2">
        <f t="shared" si="22"/>
        <v>13</v>
      </c>
      <c r="G168">
        <v>2023</v>
      </c>
      <c r="H168" s="2">
        <v>0</v>
      </c>
      <c r="I168" s="2">
        <v>0</v>
      </c>
      <c r="J168" s="2">
        <v>13</v>
      </c>
      <c r="K168" s="2">
        <v>13</v>
      </c>
      <c r="M168" s="315"/>
      <c r="N168" s="315"/>
      <c r="P168" s="352"/>
    </row>
    <row r="169" spans="2:16">
      <c r="B169" s="351">
        <v>2024</v>
      </c>
      <c r="C169" s="2">
        <v>0</v>
      </c>
      <c r="D169" s="350">
        <v>0</v>
      </c>
      <c r="E169" s="350">
        <v>0</v>
      </c>
      <c r="F169" s="2">
        <f t="shared" si="22"/>
        <v>0</v>
      </c>
      <c r="G169">
        <v>2024</v>
      </c>
      <c r="H169" s="2">
        <v>0</v>
      </c>
      <c r="I169" s="2">
        <v>0</v>
      </c>
      <c r="J169" s="2">
        <v>0</v>
      </c>
      <c r="K169" s="2">
        <v>0</v>
      </c>
      <c r="L169" s="307"/>
      <c r="M169" s="353"/>
      <c r="N169" s="353"/>
      <c r="O169" s="307"/>
      <c r="P169" s="307"/>
    </row>
    <row r="170" spans="2:16">
      <c r="B170" t="s">
        <v>3</v>
      </c>
      <c r="C170" s="2">
        <f>SUM(C160:C169)</f>
        <v>2533</v>
      </c>
      <c r="D170" s="2">
        <f t="shared" ref="D170:E170" si="23">SUM(D160:D169)</f>
        <v>866</v>
      </c>
      <c r="E170" s="2">
        <f t="shared" si="23"/>
        <v>1224</v>
      </c>
      <c r="F170" s="2">
        <f t="shared" si="22"/>
        <v>4623</v>
      </c>
      <c r="G170" t="s">
        <v>3</v>
      </c>
      <c r="H170" s="2">
        <v>2756</v>
      </c>
      <c r="I170" s="2">
        <v>718</v>
      </c>
      <c r="J170" s="2">
        <v>1103</v>
      </c>
      <c r="K170" s="2">
        <v>4577</v>
      </c>
    </row>
    <row r="171" spans="2:16">
      <c r="C171" s="315"/>
      <c r="D171" s="315"/>
      <c r="E171" s="315"/>
      <c r="F171" s="315"/>
      <c r="G171" s="315"/>
      <c r="H171" s="315"/>
    </row>
    <row r="172" spans="2:16">
      <c r="D172" s="2"/>
      <c r="M172" s="306"/>
    </row>
    <row r="173" spans="2:16" ht="13.9" customHeight="1">
      <c r="B173" t="s">
        <v>498</v>
      </c>
      <c r="D173" s="332">
        <v>4000</v>
      </c>
      <c r="E173" t="s">
        <v>499</v>
      </c>
      <c r="M173" s="306"/>
    </row>
    <row r="174" spans="2:16">
      <c r="M174" s="306"/>
    </row>
    <row r="175" spans="2:16" ht="15">
      <c r="B175" s="323" t="s">
        <v>500</v>
      </c>
      <c r="M175" s="306"/>
      <c r="N175" t="s">
        <v>431</v>
      </c>
      <c r="O175" s="105" t="s">
        <v>501</v>
      </c>
    </row>
    <row r="176" spans="2:16">
      <c r="B176" s="307" t="s">
        <v>502</v>
      </c>
      <c r="D176" t="s">
        <v>503</v>
      </c>
      <c r="M176" s="306"/>
    </row>
    <row r="177" spans="1:17" ht="15">
      <c r="D177" s="43">
        <v>2015</v>
      </c>
      <c r="E177" s="43">
        <v>2016</v>
      </c>
      <c r="F177" s="43">
        <v>2017</v>
      </c>
      <c r="G177" s="43">
        <v>2018</v>
      </c>
      <c r="H177" s="43">
        <v>2019</v>
      </c>
      <c r="I177" s="43" t="s">
        <v>3</v>
      </c>
      <c r="M177" s="306"/>
    </row>
    <row r="178" spans="1:17">
      <c r="B178" t="s">
        <v>376</v>
      </c>
      <c r="D178">
        <v>137</v>
      </c>
      <c r="E178">
        <v>20</v>
      </c>
      <c r="F178">
        <v>17</v>
      </c>
      <c r="G178">
        <v>67</v>
      </c>
      <c r="H178">
        <v>328</v>
      </c>
      <c r="I178">
        <v>569</v>
      </c>
      <c r="M178" s="306"/>
    </row>
    <row r="179" spans="1:17">
      <c r="B179" t="s">
        <v>4</v>
      </c>
      <c r="D179">
        <v>137</v>
      </c>
      <c r="E179">
        <v>20</v>
      </c>
      <c r="F179">
        <v>12</v>
      </c>
      <c r="G179">
        <v>20</v>
      </c>
      <c r="H179">
        <v>44</v>
      </c>
      <c r="I179">
        <v>233</v>
      </c>
      <c r="M179" s="306"/>
    </row>
    <row r="180" spans="1:17">
      <c r="B180" t="s">
        <v>5</v>
      </c>
      <c r="G180">
        <v>14</v>
      </c>
      <c r="H180">
        <v>150</v>
      </c>
      <c r="I180">
        <f>SUM(C180:H180)</f>
        <v>164</v>
      </c>
      <c r="M180" s="306"/>
    </row>
    <row r="181" spans="1:17">
      <c r="B181" t="s">
        <v>504</v>
      </c>
      <c r="D181">
        <f t="shared" ref="D181:I181" si="24">D178-SUM(D179:D180)</f>
        <v>0</v>
      </c>
      <c r="E181">
        <f t="shared" si="24"/>
        <v>0</v>
      </c>
      <c r="F181">
        <f t="shared" si="24"/>
        <v>5</v>
      </c>
      <c r="G181">
        <f t="shared" si="24"/>
        <v>33</v>
      </c>
      <c r="H181">
        <f t="shared" si="24"/>
        <v>134</v>
      </c>
      <c r="I181">
        <f t="shared" si="24"/>
        <v>172</v>
      </c>
      <c r="M181" s="306"/>
    </row>
    <row r="182" spans="1:17">
      <c r="G182" s="4"/>
      <c r="I182" s="4"/>
    </row>
    <row r="183" spans="1:17" ht="15">
      <c r="A183" t="s">
        <v>36</v>
      </c>
      <c r="B183" s="354" t="s">
        <v>1122</v>
      </c>
      <c r="C183" s="355"/>
      <c r="D183" s="355"/>
      <c r="E183" s="355"/>
      <c r="F183" s="355"/>
      <c r="G183" s="336"/>
      <c r="H183" s="355"/>
      <c r="I183" s="336"/>
      <c r="J183" s="336"/>
      <c r="K183" s="336"/>
      <c r="L183" s="336"/>
      <c r="M183" s="336"/>
    </row>
    <row r="184" spans="1:17" ht="15">
      <c r="B184" s="328" t="s">
        <v>505</v>
      </c>
      <c r="D184" s="124" t="s">
        <v>20</v>
      </c>
      <c r="E184" s="124" t="s">
        <v>21</v>
      </c>
      <c r="F184" s="124" t="s">
        <v>22</v>
      </c>
      <c r="G184" s="356" t="s">
        <v>23</v>
      </c>
      <c r="H184" s="356" t="s">
        <v>24</v>
      </c>
      <c r="I184" s="124" t="s">
        <v>25</v>
      </c>
      <c r="J184" s="357" t="s">
        <v>26</v>
      </c>
      <c r="K184" s="124" t="s">
        <v>27</v>
      </c>
      <c r="L184" s="358" t="s">
        <v>28</v>
      </c>
      <c r="M184" s="124" t="s">
        <v>49</v>
      </c>
      <c r="N184" s="871" t="s">
        <v>51</v>
      </c>
      <c r="O184" s="129" t="s">
        <v>506</v>
      </c>
    </row>
    <row r="185" spans="1:17" ht="15">
      <c r="L185" s="3"/>
      <c r="M185" s="43"/>
      <c r="O185" s="105" t="s">
        <v>507</v>
      </c>
    </row>
    <row r="186" spans="1:17" ht="15">
      <c r="B186" s="328" t="s">
        <v>4</v>
      </c>
      <c r="D186" s="295">
        <v>8156</v>
      </c>
      <c r="E186" s="295">
        <v>7516</v>
      </c>
      <c r="F186" s="295">
        <v>7567</v>
      </c>
      <c r="G186" s="295">
        <v>4642</v>
      </c>
      <c r="H186" s="295">
        <v>4327</v>
      </c>
      <c r="I186" s="295">
        <v>1686</v>
      </c>
      <c r="J186" s="295">
        <v>1567</v>
      </c>
      <c r="K186" s="295">
        <v>6125</v>
      </c>
      <c r="L186" s="295">
        <v>6262</v>
      </c>
      <c r="M186" s="32">
        <f>9547-34-201</f>
        <v>9312</v>
      </c>
      <c r="N186" s="4"/>
      <c r="O186" s="345" t="s">
        <v>279</v>
      </c>
    </row>
    <row r="187" spans="1:17" ht="15">
      <c r="B187" s="328" t="s">
        <v>5</v>
      </c>
      <c r="D187" s="2">
        <v>111</v>
      </c>
      <c r="E187" s="2">
        <v>149</v>
      </c>
      <c r="F187" s="2">
        <v>174</v>
      </c>
      <c r="G187" s="2">
        <v>585</v>
      </c>
      <c r="H187" s="2">
        <v>760</v>
      </c>
      <c r="I187" s="2">
        <v>456</v>
      </c>
      <c r="J187" s="2">
        <v>211</v>
      </c>
      <c r="K187" s="2">
        <v>1381</v>
      </c>
      <c r="L187" s="3">
        <v>815</v>
      </c>
      <c r="M187" s="3">
        <f>1428-93-12</f>
        <v>1323</v>
      </c>
      <c r="N187" s="4"/>
      <c r="O187" s="105" t="s">
        <v>508</v>
      </c>
    </row>
    <row r="188" spans="1:17" ht="12.6" customHeight="1">
      <c r="B188" s="328" t="s">
        <v>332</v>
      </c>
      <c r="D188" s="2">
        <v>280</v>
      </c>
      <c r="E188" s="2">
        <v>334</v>
      </c>
      <c r="F188" s="2">
        <v>471</v>
      </c>
      <c r="G188" s="2">
        <v>693</v>
      </c>
      <c r="H188" s="2">
        <v>716</v>
      </c>
      <c r="I188" s="2">
        <v>613</v>
      </c>
      <c r="J188" s="2">
        <v>731</v>
      </c>
      <c r="K188" s="2">
        <v>815</v>
      </c>
      <c r="L188" s="3">
        <v>556</v>
      </c>
      <c r="M188" s="32">
        <f>1533-9-2</f>
        <v>1522</v>
      </c>
      <c r="N188" s="4"/>
    </row>
    <row r="189" spans="1:17" ht="15">
      <c r="B189" s="328" t="s">
        <v>333</v>
      </c>
      <c r="D189" s="2">
        <v>116</v>
      </c>
      <c r="E189" s="2">
        <v>260</v>
      </c>
      <c r="F189" s="2">
        <v>195</v>
      </c>
      <c r="G189" s="2">
        <v>531</v>
      </c>
      <c r="H189" s="2">
        <v>695</v>
      </c>
      <c r="I189" s="2">
        <v>152</v>
      </c>
      <c r="J189" s="2">
        <v>44</v>
      </c>
      <c r="K189" s="2">
        <v>396</v>
      </c>
      <c r="L189" s="3">
        <v>446</v>
      </c>
      <c r="M189" s="32">
        <f>325-8</f>
        <v>317</v>
      </c>
      <c r="N189" s="4"/>
      <c r="O189" s="345"/>
    </row>
    <row r="190" spans="1:17" ht="16.5">
      <c r="B190" s="328" t="s">
        <v>6</v>
      </c>
      <c r="D190" s="359">
        <f t="shared" ref="D190:M190" si="25">D191-SUM(D186:D189)</f>
        <v>1101</v>
      </c>
      <c r="E190" s="359">
        <f t="shared" si="25"/>
        <v>1688</v>
      </c>
      <c r="F190" s="359">
        <f t="shared" si="25"/>
        <v>1683</v>
      </c>
      <c r="G190" s="359">
        <f t="shared" si="25"/>
        <v>3151</v>
      </c>
      <c r="H190" s="359">
        <f t="shared" si="25"/>
        <v>2980</v>
      </c>
      <c r="I190" s="359">
        <f t="shared" si="25"/>
        <v>689</v>
      </c>
      <c r="J190" s="359">
        <f t="shared" si="25"/>
        <v>396</v>
      </c>
      <c r="K190" s="359">
        <f t="shared" si="25"/>
        <v>2168</v>
      </c>
      <c r="L190" s="359">
        <f t="shared" si="25"/>
        <v>1738</v>
      </c>
      <c r="M190" s="359">
        <f t="shared" si="25"/>
        <v>2027</v>
      </c>
      <c r="N190" s="4"/>
      <c r="P190" s="360">
        <f>L187/L191</f>
        <v>8.3019252317408573E-2</v>
      </c>
      <c r="Q190" s="361">
        <f>K187/K191</f>
        <v>0.12687184198438217</v>
      </c>
    </row>
    <row r="191" spans="1:17" ht="15">
      <c r="B191" s="328" t="s">
        <v>3</v>
      </c>
      <c r="D191" s="3">
        <v>9764</v>
      </c>
      <c r="E191" s="3">
        <v>9947</v>
      </c>
      <c r="F191" s="2">
        <v>10090</v>
      </c>
      <c r="G191" s="2">
        <v>9602</v>
      </c>
      <c r="H191" s="2">
        <v>9478</v>
      </c>
      <c r="I191" s="2">
        <v>3596</v>
      </c>
      <c r="J191" s="2">
        <v>2949</v>
      </c>
      <c r="K191" s="2">
        <v>10885</v>
      </c>
      <c r="L191" s="3">
        <v>9817</v>
      </c>
      <c r="M191" s="3">
        <v>14501</v>
      </c>
      <c r="N191" s="2"/>
      <c r="P191" s="361">
        <f>L187/L203</f>
        <v>8.5649248014105006E-2</v>
      </c>
      <c r="Q191" s="361">
        <f>K187/K203</f>
        <v>0.10161017950526417</v>
      </c>
    </row>
    <row r="192" spans="1:17" ht="15">
      <c r="B192" s="328"/>
      <c r="D192" s="3"/>
      <c r="E192" s="3"/>
      <c r="F192" s="2"/>
      <c r="G192" s="2"/>
      <c r="H192" s="2"/>
      <c r="I192" s="2"/>
      <c r="J192" s="4"/>
      <c r="K192" s="4"/>
      <c r="L192" s="4"/>
      <c r="M192" s="4"/>
      <c r="N192" s="2"/>
    </row>
    <row r="193" spans="2:16" ht="15">
      <c r="B193" s="328" t="s">
        <v>509</v>
      </c>
      <c r="D193" s="2">
        <f t="shared" ref="D193:M193" si="26">D191-D186-D187</f>
        <v>1497</v>
      </c>
      <c r="E193" s="2">
        <f t="shared" si="26"/>
        <v>2282</v>
      </c>
      <c r="F193" s="2">
        <f t="shared" si="26"/>
        <v>2349</v>
      </c>
      <c r="G193" s="2">
        <f t="shared" si="26"/>
        <v>4375</v>
      </c>
      <c r="H193" s="2">
        <f t="shared" si="26"/>
        <v>4391</v>
      </c>
      <c r="I193" s="2">
        <f t="shared" si="26"/>
        <v>1454</v>
      </c>
      <c r="J193" s="2">
        <f t="shared" si="26"/>
        <v>1171</v>
      </c>
      <c r="K193" s="2">
        <f t="shared" si="26"/>
        <v>3379</v>
      </c>
      <c r="L193" s="2">
        <f t="shared" si="26"/>
        <v>2740</v>
      </c>
      <c r="M193" s="2">
        <f t="shared" si="26"/>
        <v>3866</v>
      </c>
    </row>
    <row r="194" spans="2:16" ht="15">
      <c r="B194" s="328"/>
      <c r="D194" s="2"/>
      <c r="E194" s="2"/>
      <c r="F194" s="2"/>
      <c r="G194" s="2"/>
      <c r="H194" s="2"/>
      <c r="I194" s="2"/>
      <c r="J194" s="4"/>
      <c r="K194" s="4"/>
      <c r="L194" s="4"/>
      <c r="M194" s="4">
        <f>M188/M191</f>
        <v>0.10495827873939728</v>
      </c>
      <c r="O194" s="4">
        <f>M187/M191</f>
        <v>9.1235087235363083E-2</v>
      </c>
    </row>
    <row r="195" spans="2:16" ht="15">
      <c r="B195" s="328" t="s">
        <v>510</v>
      </c>
      <c r="D195" s="2"/>
      <c r="E195" s="2"/>
      <c r="F195" s="2">
        <f>F191-F196</f>
        <v>8414</v>
      </c>
      <c r="G195" s="2">
        <f t="shared" ref="G195:L195" si="27">G191-G196</f>
        <v>7807</v>
      </c>
      <c r="H195" s="2">
        <f t="shared" si="27"/>
        <v>7889</v>
      </c>
      <c r="I195" s="2">
        <f t="shared" si="27"/>
        <v>2425</v>
      </c>
      <c r="J195" s="2">
        <f t="shared" si="27"/>
        <v>2023</v>
      </c>
      <c r="K195" s="2">
        <f t="shared" si="27"/>
        <v>6882</v>
      </c>
      <c r="L195" s="2">
        <f t="shared" si="27"/>
        <v>8354</v>
      </c>
      <c r="M195" s="3">
        <v>11710</v>
      </c>
    </row>
    <row r="196" spans="2:16" ht="15">
      <c r="B196" s="328" t="s">
        <v>511</v>
      </c>
      <c r="D196" s="2"/>
      <c r="E196" s="2"/>
      <c r="F196" s="2">
        <v>1676</v>
      </c>
      <c r="G196" s="2">
        <v>1795</v>
      </c>
      <c r="H196" s="2">
        <v>1589</v>
      </c>
      <c r="I196" s="2">
        <v>1171</v>
      </c>
      <c r="J196" s="2">
        <v>926</v>
      </c>
      <c r="K196" s="2">
        <v>4003</v>
      </c>
      <c r="L196" s="3">
        <v>1463</v>
      </c>
      <c r="M196" s="3">
        <v>2791</v>
      </c>
      <c r="N196" s="2"/>
    </row>
    <row r="197" spans="2:16" ht="15">
      <c r="B197" s="328" t="s">
        <v>512</v>
      </c>
      <c r="D197" s="2"/>
      <c r="E197" s="2"/>
      <c r="F197" s="4">
        <f>F196/F191</f>
        <v>0.16610505450941526</v>
      </c>
      <c r="G197" s="4">
        <f t="shared" ref="G197:M197" si="28">G196/G191</f>
        <v>0.18694022078733596</v>
      </c>
      <c r="H197" s="4">
        <f t="shared" si="28"/>
        <v>0.16765140324963074</v>
      </c>
      <c r="I197" s="4">
        <f t="shared" si="28"/>
        <v>0.32563959955506117</v>
      </c>
      <c r="J197" s="4">
        <f t="shared" si="28"/>
        <v>0.31400474737199052</v>
      </c>
      <c r="K197" s="4">
        <f t="shared" si="28"/>
        <v>0.36775378961874139</v>
      </c>
      <c r="L197" s="4">
        <f t="shared" si="28"/>
        <v>0.14902719771824385</v>
      </c>
      <c r="M197" s="4">
        <f t="shared" si="28"/>
        <v>0.19246948486311288</v>
      </c>
      <c r="O197" s="68">
        <f>AVERAGE(K197:M197)</f>
        <v>0.23641682406669939</v>
      </c>
    </row>
    <row r="198" spans="2:16" ht="15">
      <c r="B198" s="328" t="s">
        <v>4</v>
      </c>
      <c r="D198" s="2"/>
      <c r="E198" s="2"/>
      <c r="F198" s="4"/>
      <c r="G198" s="4">
        <v>0.1036191296854804</v>
      </c>
      <c r="H198" s="4">
        <v>0.10006933210076266</v>
      </c>
      <c r="I198" s="4">
        <v>0.38790035587188609</v>
      </c>
      <c r="J198" s="4">
        <v>0.37779195915762603</v>
      </c>
      <c r="K198" s="4">
        <v>0.33714285714285713</v>
      </c>
      <c r="L198" s="4">
        <v>9.2302778664963267E-2</v>
      </c>
      <c r="M198" s="4">
        <v>0.13</v>
      </c>
      <c r="N198" s="68"/>
      <c r="O198" s="68"/>
    </row>
    <row r="199" spans="2:16" ht="15">
      <c r="B199" s="328" t="s">
        <v>5</v>
      </c>
      <c r="D199" s="2"/>
      <c r="E199" s="2"/>
      <c r="F199" s="4"/>
      <c r="G199" s="4">
        <v>0.3264957264957265</v>
      </c>
      <c r="H199" s="4">
        <v>0.3381578947368421</v>
      </c>
      <c r="I199" s="4">
        <v>0.66666666666666663</v>
      </c>
      <c r="J199" s="4">
        <v>0.77725118483412325</v>
      </c>
      <c r="K199" s="4">
        <v>0.5358435916002896</v>
      </c>
      <c r="L199" s="4">
        <v>0.22576687116564417</v>
      </c>
      <c r="M199" s="4">
        <v>0.48</v>
      </c>
      <c r="N199" s="68"/>
      <c r="O199" s="68"/>
    </row>
    <row r="200" spans="2:16" ht="15">
      <c r="B200" s="328" t="s">
        <v>6</v>
      </c>
      <c r="D200" s="2"/>
      <c r="E200" s="2"/>
      <c r="F200" s="2"/>
      <c r="G200" s="68">
        <v>0.25668571428571429</v>
      </c>
      <c r="H200" s="68">
        <v>0.20473696196766111</v>
      </c>
      <c r="I200" s="68">
        <v>0.14649243466299863</v>
      </c>
      <c r="J200" s="68">
        <v>0.13578138343296328</v>
      </c>
      <c r="K200" s="68">
        <v>0.35454276413139985</v>
      </c>
      <c r="L200" s="362">
        <v>0.25583941605839416</v>
      </c>
      <c r="M200" s="4">
        <v>0.24</v>
      </c>
      <c r="N200" s="68"/>
    </row>
    <row r="201" spans="2:16" ht="15">
      <c r="B201" s="328"/>
      <c r="D201" s="2"/>
      <c r="E201" s="2"/>
      <c r="F201" s="2"/>
      <c r="G201" s="2"/>
      <c r="H201" s="2"/>
      <c r="I201" s="2"/>
      <c r="J201" s="2"/>
      <c r="K201" s="2"/>
      <c r="L201" s="3"/>
    </row>
    <row r="202" spans="2:16" ht="15">
      <c r="B202" s="328" t="s">
        <v>513</v>
      </c>
      <c r="D202" s="2">
        <f>144796*0.071</f>
        <v>10280.516</v>
      </c>
      <c r="E202" s="2">
        <f>140338*0.071</f>
        <v>9963.9979999999996</v>
      </c>
      <c r="F202" s="363">
        <v>9940</v>
      </c>
      <c r="G202" s="363">
        <v>9960.732</v>
      </c>
      <c r="H202" s="363">
        <v>10076.178</v>
      </c>
      <c r="I202" s="363">
        <v>11093.963</v>
      </c>
      <c r="J202" s="363">
        <v>18622.447999999997</v>
      </c>
      <c r="N202" s="363">
        <f>SUM(I202:M202)</f>
        <v>29716.410999999996</v>
      </c>
      <c r="O202" s="332">
        <v>50000</v>
      </c>
      <c r="P202" s="363">
        <f>N202-O202</f>
        <v>-20283.589000000004</v>
      </c>
    </row>
    <row r="203" spans="2:16" ht="15">
      <c r="B203" s="328" t="s">
        <v>514</v>
      </c>
      <c r="D203" s="2"/>
      <c r="E203" s="2"/>
      <c r="F203" s="363"/>
      <c r="G203" s="363"/>
      <c r="H203" s="363"/>
      <c r="I203" s="363"/>
      <c r="J203" s="363"/>
      <c r="K203" s="363">
        <v>13591.15796</v>
      </c>
      <c r="L203" s="3">
        <v>9515.5534800000005</v>
      </c>
      <c r="M203" s="3">
        <v>14207.10852</v>
      </c>
    </row>
    <row r="204" spans="2:16" ht="15">
      <c r="B204" s="328" t="s">
        <v>515</v>
      </c>
      <c r="D204" s="2">
        <f>D191-D202</f>
        <v>-516.51599999999962</v>
      </c>
      <c r="E204" s="2">
        <f t="shared" ref="E204:J204" si="29">E191-E202</f>
        <v>-16.997999999999593</v>
      </c>
      <c r="F204" s="2">
        <f t="shared" si="29"/>
        <v>150</v>
      </c>
      <c r="G204" s="2">
        <f t="shared" si="29"/>
        <v>-358.73199999999997</v>
      </c>
      <c r="H204" s="2">
        <f t="shared" si="29"/>
        <v>-598.17799999999988</v>
      </c>
      <c r="I204" s="2">
        <f t="shared" si="29"/>
        <v>-7497.9629999999997</v>
      </c>
      <c r="J204" s="2">
        <f t="shared" si="29"/>
        <v>-15673.447999999997</v>
      </c>
      <c r="K204" s="2">
        <f>K191-K203</f>
        <v>-2706.1579600000005</v>
      </c>
      <c r="L204" s="2">
        <f t="shared" ref="L204" si="30">L191-L203</f>
        <v>301.44651999999951</v>
      </c>
      <c r="M204" s="2"/>
    </row>
    <row r="205" spans="2:16" ht="15">
      <c r="B205" s="328" t="s">
        <v>516</v>
      </c>
      <c r="D205" s="2"/>
      <c r="E205" s="2"/>
      <c r="F205" s="2"/>
      <c r="G205" s="2"/>
      <c r="H205" s="2"/>
      <c r="I205" s="2"/>
      <c r="J205" s="2"/>
      <c r="K205" s="2"/>
      <c r="M205" s="3"/>
    </row>
    <row r="206" spans="2:16" ht="15">
      <c r="B206" s="328" t="s">
        <v>517</v>
      </c>
      <c r="D206" s="2"/>
      <c r="E206" s="2"/>
      <c r="F206" s="2"/>
      <c r="G206" s="2"/>
      <c r="H206" s="2"/>
      <c r="I206" s="2"/>
      <c r="J206" s="2"/>
      <c r="K206" s="2"/>
      <c r="L206" s="363"/>
      <c r="M206" s="3"/>
    </row>
    <row r="207" spans="2:16" ht="15">
      <c r="B207" s="328" t="s">
        <v>518</v>
      </c>
      <c r="D207" s="2"/>
      <c r="E207" s="2"/>
      <c r="F207" s="2"/>
      <c r="G207" s="2"/>
      <c r="H207" s="2"/>
      <c r="I207" s="2"/>
      <c r="J207" s="2"/>
      <c r="K207" s="2"/>
      <c r="L207" s="363"/>
      <c r="M207" s="3"/>
    </row>
    <row r="208" spans="2:16" ht="15">
      <c r="B208" s="328"/>
      <c r="D208" s="2"/>
      <c r="E208" s="2"/>
      <c r="F208" s="2"/>
      <c r="G208" s="2"/>
      <c r="H208" s="2"/>
      <c r="I208" s="2"/>
      <c r="J208" s="2"/>
      <c r="K208" s="2"/>
      <c r="L208" s="363"/>
      <c r="M208" s="3"/>
    </row>
    <row r="209" spans="1:15" ht="15">
      <c r="B209" s="328" t="s">
        <v>519</v>
      </c>
      <c r="D209" s="2"/>
      <c r="E209" s="2"/>
      <c r="F209" s="2"/>
      <c r="G209" s="2"/>
      <c r="H209" s="2"/>
      <c r="I209" s="2"/>
      <c r="J209" s="2"/>
      <c r="K209" s="2"/>
      <c r="L209" s="2"/>
      <c r="M209" s="2"/>
      <c r="N209" s="4"/>
    </row>
    <row r="210" spans="1:15">
      <c r="D210" s="2"/>
      <c r="E210" s="2"/>
      <c r="F210" s="2"/>
      <c r="G210" s="2"/>
      <c r="H210" s="2"/>
      <c r="I210" s="2"/>
      <c r="J210" s="2"/>
      <c r="K210" s="2"/>
      <c r="M210" s="3"/>
    </row>
    <row r="211" spans="1:15" ht="15">
      <c r="A211" t="s">
        <v>36</v>
      </c>
      <c r="B211" s="122" t="s">
        <v>520</v>
      </c>
      <c r="C211" s="26"/>
      <c r="D211" s="364"/>
      <c r="E211" s="364"/>
      <c r="F211" s="364"/>
      <c r="G211" s="364"/>
      <c r="H211" s="364"/>
      <c r="I211" s="364"/>
      <c r="J211" s="364"/>
      <c r="K211" s="364"/>
      <c r="L211" s="26"/>
      <c r="M211" s="3"/>
    </row>
    <row r="212" spans="1:15" ht="15">
      <c r="B212" s="43"/>
      <c r="D212" s="2"/>
      <c r="E212" s="2"/>
      <c r="F212" s="2"/>
      <c r="G212" s="2"/>
      <c r="H212" s="2"/>
      <c r="I212" s="2"/>
      <c r="J212" s="2"/>
      <c r="K212" s="2"/>
      <c r="M212" s="365"/>
    </row>
    <row r="213" spans="1:15" ht="15">
      <c r="B213" s="317" t="s">
        <v>521</v>
      </c>
      <c r="C213" s="310"/>
      <c r="D213" s="311"/>
      <c r="E213" s="311"/>
      <c r="F213" s="311"/>
      <c r="G213" s="311"/>
      <c r="H213" s="311"/>
      <c r="I213" s="311"/>
      <c r="J213" s="311"/>
      <c r="K213" s="2"/>
      <c r="M213" s="365"/>
      <c r="N213" t="s">
        <v>288</v>
      </c>
      <c r="O213" t="s">
        <v>355</v>
      </c>
    </row>
    <row r="214" spans="1:15">
      <c r="C214" t="s">
        <v>346</v>
      </c>
      <c r="D214" t="s">
        <v>351</v>
      </c>
      <c r="E214" s="2" t="s">
        <v>3</v>
      </c>
      <c r="F214" s="2"/>
      <c r="G214" t="s">
        <v>346</v>
      </c>
      <c r="H214" t="s">
        <v>351</v>
      </c>
      <c r="I214" s="2" t="s">
        <v>3</v>
      </c>
      <c r="J214" s="2"/>
      <c r="K214" s="2"/>
      <c r="M214" s="365"/>
      <c r="O214" s="105" t="s">
        <v>356</v>
      </c>
    </row>
    <row r="215" spans="1:15">
      <c r="B215" t="s">
        <v>352</v>
      </c>
      <c r="C215">
        <v>3900</v>
      </c>
      <c r="D215">
        <v>550</v>
      </c>
      <c r="E215" s="2">
        <f>SUM(C215:D215)</f>
        <v>4450</v>
      </c>
      <c r="G215" s="366">
        <f t="shared" ref="G215:I218" si="31">C215/C$218</f>
        <v>0.37392138063279001</v>
      </c>
      <c r="H215" s="366">
        <f t="shared" si="31"/>
        <v>0.37414965986394561</v>
      </c>
      <c r="I215" s="366">
        <f t="shared" si="31"/>
        <v>0.37394957983193278</v>
      </c>
      <c r="J215" s="102">
        <f>1/I215</f>
        <v>2.6741573033707864</v>
      </c>
      <c r="K215" s="367"/>
      <c r="M215" s="368">
        <f>J215*0.85</f>
        <v>2.2730337078651686</v>
      </c>
    </row>
    <row r="216" spans="1:15">
      <c r="B216" t="s">
        <v>353</v>
      </c>
      <c r="C216">
        <v>2310</v>
      </c>
      <c r="D216">
        <v>330</v>
      </c>
      <c r="E216" s="2">
        <f t="shared" ref="E216:E218" si="32">SUM(C216:D216)</f>
        <v>2640</v>
      </c>
      <c r="G216" s="366">
        <f t="shared" si="31"/>
        <v>0.22147651006711411</v>
      </c>
      <c r="H216" s="366">
        <f t="shared" si="31"/>
        <v>0.22448979591836735</v>
      </c>
      <c r="I216" s="366">
        <f t="shared" si="31"/>
        <v>0.22184873949579831</v>
      </c>
      <c r="J216" s="102"/>
      <c r="K216" s="369">
        <f>C216/C215</f>
        <v>0.59230769230769231</v>
      </c>
      <c r="M216" s="365"/>
    </row>
    <row r="217" spans="1:15" s="370" customFormat="1">
      <c r="B217" t="s">
        <v>354</v>
      </c>
      <c r="C217">
        <v>4220</v>
      </c>
      <c r="D217">
        <v>590</v>
      </c>
      <c r="E217" s="2">
        <f t="shared" si="32"/>
        <v>4810</v>
      </c>
      <c r="G217" s="366">
        <f t="shared" si="31"/>
        <v>0.40460210930009588</v>
      </c>
      <c r="H217" s="366">
        <f t="shared" si="31"/>
        <v>0.40136054421768708</v>
      </c>
      <c r="I217" s="366">
        <f t="shared" si="31"/>
        <v>0.40420168067226891</v>
      </c>
      <c r="J217" s="102"/>
      <c r="K217" s="369">
        <f>C217/C215</f>
        <v>1.082051282051282</v>
      </c>
      <c r="M217" s="371"/>
    </row>
    <row r="218" spans="1:15" s="370" customFormat="1">
      <c r="B218"/>
      <c r="C218">
        <f>SUM(C215:C217)</f>
        <v>10430</v>
      </c>
      <c r="D218">
        <f>SUM(D215:D217)</f>
        <v>1470</v>
      </c>
      <c r="E218" s="2">
        <f t="shared" si="32"/>
        <v>11900</v>
      </c>
      <c r="G218" s="366">
        <f t="shared" si="31"/>
        <v>1</v>
      </c>
      <c r="H218" s="366">
        <f t="shared" si="31"/>
        <v>1</v>
      </c>
      <c r="I218" s="366">
        <f>E218/E$218</f>
        <v>1</v>
      </c>
      <c r="J218" s="102"/>
      <c r="K218" s="372"/>
      <c r="M218" s="371"/>
    </row>
    <row r="219" spans="1:15" s="370" customFormat="1">
      <c r="B219"/>
      <c r="C219" s="4">
        <f>C218/$E218</f>
        <v>0.87647058823529411</v>
      </c>
      <c r="D219" s="4">
        <f t="shared" ref="D219:E219" si="33">D218/$E218</f>
        <v>0.12352941176470589</v>
      </c>
      <c r="E219" s="4">
        <f t="shared" si="33"/>
        <v>1</v>
      </c>
      <c r="F219" s="366"/>
      <c r="G219" s="372"/>
      <c r="H219" s="372"/>
      <c r="I219" s="372"/>
      <c r="J219" s="102"/>
      <c r="K219" s="372"/>
      <c r="M219" s="371"/>
    </row>
    <row r="220" spans="1:15">
      <c r="D220" s="2"/>
      <c r="E220" s="2"/>
      <c r="F220" s="2"/>
      <c r="G220" s="2"/>
      <c r="H220" s="2"/>
      <c r="I220" s="2"/>
      <c r="J220" s="2"/>
      <c r="K220" s="2"/>
      <c r="M220" s="3"/>
    </row>
    <row r="221" spans="1:15" ht="15">
      <c r="B221" s="317" t="s">
        <v>522</v>
      </c>
      <c r="C221" s="310"/>
      <c r="D221" s="311"/>
      <c r="E221" s="311"/>
      <c r="F221" s="310"/>
      <c r="G221" s="310"/>
      <c r="H221" s="310"/>
      <c r="I221" s="310"/>
      <c r="J221" s="310"/>
      <c r="K221" s="310"/>
    </row>
    <row r="222" spans="1:15" ht="15">
      <c r="B222" s="43"/>
      <c r="C222" s="43" t="s">
        <v>4</v>
      </c>
      <c r="D222" s="43" t="s">
        <v>5</v>
      </c>
      <c r="E222" s="43" t="s">
        <v>332</v>
      </c>
      <c r="F222" s="43" t="s">
        <v>333</v>
      </c>
      <c r="G222" s="43" t="s">
        <v>334</v>
      </c>
      <c r="H222" s="43" t="s">
        <v>361</v>
      </c>
      <c r="I222" s="43" t="s">
        <v>413</v>
      </c>
      <c r="J222" s="43" t="s">
        <v>168</v>
      </c>
    </row>
    <row r="223" spans="1:15" ht="44.25" customHeight="1">
      <c r="B223" s="373" t="s">
        <v>523</v>
      </c>
      <c r="C223" s="361">
        <v>0.36899999999999999</v>
      </c>
      <c r="D223" s="361">
        <v>0.443</v>
      </c>
      <c r="E223" s="361">
        <v>0.254</v>
      </c>
      <c r="F223" s="361">
        <v>0.38</v>
      </c>
      <c r="G223" s="361">
        <v>0.3</v>
      </c>
      <c r="H223" s="361">
        <v>0.37</v>
      </c>
      <c r="I223" s="361">
        <v>0.36</v>
      </c>
      <c r="J223" s="361">
        <v>0.36</v>
      </c>
      <c r="N223" t="s">
        <v>442</v>
      </c>
      <c r="O223" s="105" t="s">
        <v>279</v>
      </c>
    </row>
    <row r="224" spans="1:15">
      <c r="B224" s="319" t="s">
        <v>524</v>
      </c>
      <c r="C224" s="374">
        <f t="shared" ref="C224:J224" si="34">1/C223</f>
        <v>2.7100271002710028</v>
      </c>
      <c r="D224" s="374">
        <f t="shared" si="34"/>
        <v>2.2573363431151243</v>
      </c>
      <c r="E224" s="374">
        <f t="shared" si="34"/>
        <v>3.9370078740157481</v>
      </c>
      <c r="F224" s="374">
        <f t="shared" si="34"/>
        <v>2.6315789473684212</v>
      </c>
      <c r="G224" s="374">
        <f t="shared" si="34"/>
        <v>3.3333333333333335</v>
      </c>
      <c r="H224" s="374">
        <f t="shared" si="34"/>
        <v>2.7027027027027026</v>
      </c>
      <c r="I224" s="374">
        <f t="shared" si="34"/>
        <v>2.7777777777777777</v>
      </c>
      <c r="J224" s="374">
        <f t="shared" si="34"/>
        <v>2.7777777777777777</v>
      </c>
      <c r="O224" s="105" t="s">
        <v>343</v>
      </c>
    </row>
    <row r="225" spans="2:20">
      <c r="B225" s="319"/>
      <c r="C225" s="374"/>
      <c r="D225" s="374"/>
      <c r="E225" s="374"/>
      <c r="F225" s="374"/>
      <c r="G225" s="374"/>
      <c r="H225" s="374"/>
      <c r="I225" s="374"/>
      <c r="J225" s="374"/>
      <c r="O225" t="s">
        <v>507</v>
      </c>
    </row>
    <row r="226" spans="2:20" ht="15">
      <c r="B226" s="43" t="s">
        <v>525</v>
      </c>
      <c r="J226" s="374"/>
      <c r="O226" s="375" t="s">
        <v>349</v>
      </c>
    </row>
    <row r="227" spans="2:20" ht="30">
      <c r="B227" s="308"/>
      <c r="C227" s="376" t="s">
        <v>331</v>
      </c>
      <c r="D227" s="376" t="s">
        <v>5</v>
      </c>
      <c r="E227" s="376" t="s">
        <v>332</v>
      </c>
      <c r="F227" s="376" t="s">
        <v>526</v>
      </c>
      <c r="G227" s="376" t="s">
        <v>334</v>
      </c>
      <c r="H227" s="376" t="s">
        <v>335</v>
      </c>
      <c r="I227" s="376" t="s">
        <v>272</v>
      </c>
      <c r="J227" s="374"/>
      <c r="O227" s="105"/>
    </row>
    <row r="228" spans="2:20">
      <c r="B228" s="308" t="s">
        <v>336</v>
      </c>
      <c r="C228" s="377">
        <v>0.375</v>
      </c>
      <c r="D228" s="377">
        <v>0.35899999999999999</v>
      </c>
      <c r="E228" s="377">
        <v>0.25700000000000001</v>
      </c>
      <c r="F228" s="377">
        <v>0.40799999999999997</v>
      </c>
      <c r="G228" s="377">
        <v>0.5</v>
      </c>
      <c r="H228" s="377">
        <v>0.35</v>
      </c>
      <c r="I228" s="377">
        <v>0.30499999999999999</v>
      </c>
      <c r="J228" s="374"/>
      <c r="O228" s="105">
        <v>0.375</v>
      </c>
      <c r="P228">
        <v>0.35899999999999999</v>
      </c>
      <c r="Q228">
        <v>0.30499999999999999</v>
      </c>
    </row>
    <row r="229" spans="2:20">
      <c r="B229" s="308" t="s">
        <v>337</v>
      </c>
      <c r="C229" s="377">
        <v>0.38600000000000001</v>
      </c>
      <c r="D229" s="377">
        <v>0.35299999999999998</v>
      </c>
      <c r="E229" s="377">
        <v>0.33700000000000002</v>
      </c>
      <c r="F229" s="377">
        <v>0.36599999999999999</v>
      </c>
      <c r="G229" s="377">
        <v>0.36299999999999999</v>
      </c>
      <c r="H229" s="377">
        <v>0.34499999999999997</v>
      </c>
      <c r="I229" s="377">
        <v>0.33300000000000002</v>
      </c>
      <c r="J229" s="374"/>
    </row>
    <row r="230" spans="2:20">
      <c r="B230" s="308" t="s">
        <v>338</v>
      </c>
      <c r="C230" s="377">
        <v>0.42199999999999999</v>
      </c>
      <c r="D230" s="377">
        <v>0.35699999999999998</v>
      </c>
      <c r="E230" s="377">
        <v>0.27600000000000002</v>
      </c>
      <c r="F230" s="377">
        <v>0.36299999999999999</v>
      </c>
      <c r="G230" s="377">
        <v>0.29399999999999998</v>
      </c>
      <c r="H230" s="377">
        <v>0.34599999999999997</v>
      </c>
      <c r="I230" s="377">
        <v>0.28599999999999998</v>
      </c>
      <c r="J230" s="374"/>
    </row>
    <row r="231" spans="2:20">
      <c r="B231" s="308" t="s">
        <v>339</v>
      </c>
      <c r="C231" s="377">
        <v>0.38800000000000001</v>
      </c>
      <c r="D231" s="377">
        <v>0.41599999999999998</v>
      </c>
      <c r="E231" s="377">
        <v>0.28599999999999998</v>
      </c>
      <c r="F231" s="377">
        <v>0.35399999999999998</v>
      </c>
      <c r="G231" s="377">
        <v>0.35499999999999998</v>
      </c>
      <c r="H231" s="377">
        <v>0.35799999999999998</v>
      </c>
      <c r="I231" s="377">
        <v>0.33300000000000002</v>
      </c>
      <c r="J231" s="374"/>
      <c r="K231" s="378"/>
    </row>
    <row r="232" spans="2:20">
      <c r="C232" s="374">
        <f>1/AVERAGE(C228:C230)</f>
        <v>2.5359256128486893</v>
      </c>
      <c r="D232" s="374">
        <f t="shared" ref="D232:I232" si="35">1/AVERAGE(D228:D230)</f>
        <v>2.8063610851262863</v>
      </c>
      <c r="E232" s="374">
        <f t="shared" si="35"/>
        <v>3.4482758620689653</v>
      </c>
      <c r="F232" s="374">
        <f t="shared" si="35"/>
        <v>2.6385224274406331</v>
      </c>
      <c r="G232" s="374">
        <f t="shared" si="35"/>
        <v>2.5929127052722558</v>
      </c>
      <c r="H232" s="374">
        <f t="shared" si="35"/>
        <v>2.8818443804034586</v>
      </c>
      <c r="I232" s="374">
        <f t="shared" si="35"/>
        <v>3.2467532467532467</v>
      </c>
    </row>
    <row r="233" spans="2:20" ht="15">
      <c r="B233" t="s">
        <v>7</v>
      </c>
      <c r="E233" s="379"/>
      <c r="G233" t="s">
        <v>8</v>
      </c>
      <c r="J233" t="s">
        <v>527</v>
      </c>
      <c r="M233" s="43" t="s">
        <v>344</v>
      </c>
    </row>
    <row r="234" spans="2:20">
      <c r="B234" t="s">
        <v>99</v>
      </c>
      <c r="C234" t="s">
        <v>528</v>
      </c>
      <c r="D234" t="s">
        <v>529</v>
      </c>
      <c r="E234" t="s">
        <v>530</v>
      </c>
      <c r="G234" t="s">
        <v>99</v>
      </c>
      <c r="H234" t="s">
        <v>528</v>
      </c>
      <c r="I234" t="s">
        <v>529</v>
      </c>
      <c r="J234" t="s">
        <v>528</v>
      </c>
      <c r="K234" t="s">
        <v>529</v>
      </c>
    </row>
    <row r="235" spans="2:20">
      <c r="B235" t="s">
        <v>20</v>
      </c>
      <c r="C235" s="361">
        <v>0.35199999999999998</v>
      </c>
      <c r="D235" s="102">
        <f>1/C235</f>
        <v>2.8409090909090913</v>
      </c>
      <c r="H235" s="4"/>
      <c r="I235" s="102"/>
      <c r="R235" t="s">
        <v>345</v>
      </c>
    </row>
    <row r="236" spans="2:20">
      <c r="B236" t="s">
        <v>21</v>
      </c>
      <c r="C236" s="361">
        <v>0.35799999999999998</v>
      </c>
      <c r="D236" s="102">
        <f>1/C236</f>
        <v>2.7932960893854748</v>
      </c>
      <c r="E236" s="360">
        <f>(D236-D235)/D235</f>
        <v>-1.6759776536312995E-2</v>
      </c>
      <c r="H236" s="4"/>
      <c r="I236" s="102"/>
      <c r="J236" s="360"/>
      <c r="N236" t="s">
        <v>346</v>
      </c>
      <c r="O236" t="s">
        <v>281</v>
      </c>
      <c r="P236" t="s">
        <v>3</v>
      </c>
      <c r="R236" t="s">
        <v>346</v>
      </c>
      <c r="S236" t="s">
        <v>281</v>
      </c>
      <c r="T236" t="s">
        <v>326</v>
      </c>
    </row>
    <row r="237" spans="2:20">
      <c r="B237" t="s">
        <v>22</v>
      </c>
      <c r="C237" s="361">
        <v>0.36099999999999999</v>
      </c>
      <c r="D237" s="102">
        <f>1/C237</f>
        <v>2.770083102493075</v>
      </c>
      <c r="E237" s="360">
        <f>(D237-D236)/D236</f>
        <v>-8.3102493074791329E-3</v>
      </c>
      <c r="G237" t="s">
        <v>22</v>
      </c>
      <c r="H237" s="361">
        <v>0.42</v>
      </c>
      <c r="I237" s="102">
        <f>1/H237</f>
        <v>2.3809523809523809</v>
      </c>
      <c r="J237" s="360">
        <v>0.27200000000000002</v>
      </c>
      <c r="K237" s="102">
        <f>1/J237</f>
        <v>3.6764705882352939</v>
      </c>
      <c r="M237" t="s">
        <v>22</v>
      </c>
      <c r="N237" s="68">
        <v>0.33830664725861231</v>
      </c>
      <c r="O237" s="68">
        <v>0.44110429447852761</v>
      </c>
      <c r="P237" s="68">
        <v>0.35527648369455134</v>
      </c>
      <c r="Q237" s="380" t="s">
        <v>22</v>
      </c>
      <c r="R237" s="84">
        <f>1/N237</f>
        <v>2.9558981713875943</v>
      </c>
      <c r="S237" s="84">
        <f t="shared" ref="S237:T243" si="36">1/O237</f>
        <v>2.267037552155772</v>
      </c>
      <c r="T237" s="84">
        <f t="shared" si="36"/>
        <v>2.814709236031927</v>
      </c>
    </row>
    <row r="238" spans="2:20">
      <c r="B238" t="s">
        <v>23</v>
      </c>
      <c r="C238" s="361">
        <v>0.36799999999999999</v>
      </c>
      <c r="D238" s="102">
        <f>1/C238</f>
        <v>2.7173913043478262</v>
      </c>
      <c r="E238" s="360">
        <f>(D238-D237)/D237</f>
        <v>-1.9021739130434825E-2</v>
      </c>
      <c r="G238" t="s">
        <v>23</v>
      </c>
      <c r="H238" s="361">
        <v>0.41199999999999998</v>
      </c>
      <c r="I238" s="102">
        <f>1/H238</f>
        <v>2.4271844660194177</v>
      </c>
      <c r="J238" s="360">
        <v>0.26300000000000001</v>
      </c>
      <c r="K238" s="102">
        <f>1/J238</f>
        <v>3.8022813688212924</v>
      </c>
      <c r="M238" t="s">
        <v>23</v>
      </c>
      <c r="N238" s="34">
        <v>0.33118768143380034</v>
      </c>
      <c r="O238" s="34">
        <v>0.43521790341578326</v>
      </c>
      <c r="P238" s="34">
        <v>0.3495478640473963</v>
      </c>
      <c r="Q238" s="380" t="s">
        <v>23</v>
      </c>
      <c r="R238" s="84">
        <f t="shared" ref="R238:R243" si="37">1/N238</f>
        <v>3.0194359756097562</v>
      </c>
      <c r="S238" s="84">
        <f t="shared" si="36"/>
        <v>2.2976995940460081</v>
      </c>
      <c r="T238" s="84">
        <f t="shared" si="36"/>
        <v>2.8608385370205176</v>
      </c>
    </row>
    <row r="239" spans="2:20">
      <c r="B239" t="s">
        <v>24</v>
      </c>
      <c r="C239" s="361">
        <v>0.36899999999999999</v>
      </c>
      <c r="D239" s="102">
        <f>1/C239</f>
        <v>2.7100271002710028</v>
      </c>
      <c r="E239" s="360">
        <f>(D239-D238)/D238</f>
        <v>-2.7100271002709988E-3</v>
      </c>
      <c r="G239" t="s">
        <v>24</v>
      </c>
      <c r="H239" s="361">
        <v>0.443</v>
      </c>
      <c r="I239" s="102">
        <f>1/H239</f>
        <v>2.2573363431151243</v>
      </c>
      <c r="J239" s="360">
        <v>0.254</v>
      </c>
      <c r="K239" s="102">
        <f>1/J239</f>
        <v>3.9370078740157481</v>
      </c>
      <c r="M239" t="s">
        <v>24</v>
      </c>
      <c r="N239" s="68">
        <v>0.34163319946452475</v>
      </c>
      <c r="O239" s="68">
        <v>0.45471464019851116</v>
      </c>
      <c r="P239" s="68">
        <v>0.36170447038097336</v>
      </c>
      <c r="Q239" s="380" t="s">
        <v>24</v>
      </c>
      <c r="R239" s="84">
        <f t="shared" si="37"/>
        <v>2.927115987460815</v>
      </c>
      <c r="S239" s="84">
        <f t="shared" si="36"/>
        <v>2.1991814461118691</v>
      </c>
      <c r="T239" s="84">
        <f t="shared" si="36"/>
        <v>2.7646879756468796</v>
      </c>
    </row>
    <row r="240" spans="2:20">
      <c r="B240" t="s">
        <v>25</v>
      </c>
      <c r="C240" s="361"/>
      <c r="D240" s="102"/>
      <c r="E240" s="360"/>
      <c r="G240" t="s">
        <v>25</v>
      </c>
      <c r="H240" s="361"/>
      <c r="I240" s="102"/>
      <c r="J240" s="360"/>
      <c r="K240" s="102"/>
      <c r="M240" t="s">
        <v>25</v>
      </c>
      <c r="N240" s="68">
        <v>0.336587129428778</v>
      </c>
      <c r="O240" s="68">
        <v>0.50083333333333335</v>
      </c>
      <c r="P240" s="68">
        <v>0.38628340897629854</v>
      </c>
      <c r="Q240" s="380" t="s">
        <v>25</v>
      </c>
      <c r="R240" s="84">
        <f t="shared" si="37"/>
        <v>2.970998925886144</v>
      </c>
      <c r="S240" s="84">
        <f t="shared" si="36"/>
        <v>1.9966722129783694</v>
      </c>
      <c r="T240" s="84">
        <f t="shared" si="36"/>
        <v>2.5887728459530028</v>
      </c>
    </row>
    <row r="241" spans="1:20">
      <c r="B241" t="s">
        <v>26</v>
      </c>
      <c r="C241" s="361">
        <f>C231</f>
        <v>0.38800000000000001</v>
      </c>
      <c r="D241" s="102">
        <f>1/C241</f>
        <v>2.5773195876288657</v>
      </c>
      <c r="E241" s="360">
        <f>(D241-D239)/D239</f>
        <v>-4.8969072164948585E-2</v>
      </c>
      <c r="G241" t="s">
        <v>26</v>
      </c>
      <c r="H241" s="361">
        <f>D231</f>
        <v>0.41599999999999998</v>
      </c>
      <c r="I241" s="102">
        <f>1/H241</f>
        <v>2.4038461538461537</v>
      </c>
      <c r="J241" s="360">
        <f>E231</f>
        <v>0.28599999999999998</v>
      </c>
      <c r="K241" s="102">
        <f>1/J241</f>
        <v>3.4965034965034967</v>
      </c>
      <c r="M241" t="s">
        <v>26</v>
      </c>
      <c r="N241" s="68">
        <v>0.33849821215733017</v>
      </c>
      <c r="O241" s="68">
        <v>0.53814002089864155</v>
      </c>
      <c r="P241" s="68">
        <v>0.4110056925996205</v>
      </c>
      <c r="Q241" s="380" t="s">
        <v>26</v>
      </c>
      <c r="R241" s="84">
        <f t="shared" si="37"/>
        <v>2.954225352112676</v>
      </c>
      <c r="S241" s="84">
        <f t="shared" si="36"/>
        <v>1.8582524271844663</v>
      </c>
      <c r="T241" s="84">
        <f t="shared" si="36"/>
        <v>2.4330563250230841</v>
      </c>
    </row>
    <row r="242" spans="1:20">
      <c r="B242" t="s">
        <v>27</v>
      </c>
      <c r="C242" s="361">
        <f>C230</f>
        <v>0.42199999999999999</v>
      </c>
      <c r="D242" s="102">
        <f t="shared" ref="D242:D244" si="38">1/C242</f>
        <v>2.3696682464454977</v>
      </c>
      <c r="E242" s="360">
        <f>(D242-D241)/D241</f>
        <v>-8.0568720379146808E-2</v>
      </c>
      <c r="G242" t="s">
        <v>27</v>
      </c>
      <c r="H242" s="361">
        <f>D230</f>
        <v>0.35699999999999998</v>
      </c>
      <c r="I242" s="102">
        <f t="shared" ref="I242:K244" si="39">1/H242</f>
        <v>2.801120448179272</v>
      </c>
      <c r="J242" s="360">
        <f>E230</f>
        <v>0.27600000000000002</v>
      </c>
      <c r="K242" s="102">
        <f t="shared" si="39"/>
        <v>3.6231884057971011</v>
      </c>
      <c r="M242" t="s">
        <v>27</v>
      </c>
      <c r="N242" s="68">
        <v>0.35074626865671643</v>
      </c>
      <c r="O242" s="68">
        <v>0.52392883988975192</v>
      </c>
      <c r="P242" s="68">
        <v>0.43849181160340234</v>
      </c>
      <c r="Q242" s="380" t="s">
        <v>27</v>
      </c>
      <c r="R242" s="84">
        <f t="shared" si="37"/>
        <v>2.8510638297872339</v>
      </c>
      <c r="S242" s="84">
        <f t="shared" si="36"/>
        <v>1.9086561453849833</v>
      </c>
      <c r="T242" s="84">
        <f t="shared" si="36"/>
        <v>2.2805442964678631</v>
      </c>
    </row>
    <row r="243" spans="1:20">
      <c r="B243" t="s">
        <v>28</v>
      </c>
      <c r="C243" s="361">
        <f>C229</f>
        <v>0.38600000000000001</v>
      </c>
      <c r="D243" s="102">
        <f t="shared" si="38"/>
        <v>2.5906735751295336</v>
      </c>
      <c r="E243" s="360">
        <f t="shared" ref="E243:E244" si="40">(D243-D242)/D242</f>
        <v>9.3264248704663141E-2</v>
      </c>
      <c r="G243" t="s">
        <v>28</v>
      </c>
      <c r="H243" s="361">
        <f>D229</f>
        <v>0.35299999999999998</v>
      </c>
      <c r="I243" s="102">
        <f t="shared" si="39"/>
        <v>2.8328611898017</v>
      </c>
      <c r="J243" s="360">
        <f>E229</f>
        <v>0.33700000000000002</v>
      </c>
      <c r="K243" s="102">
        <f t="shared" si="39"/>
        <v>2.9673590504451037</v>
      </c>
      <c r="M243" t="s">
        <v>28</v>
      </c>
      <c r="N243" s="68">
        <v>0.37392138063279001</v>
      </c>
      <c r="O243" s="68">
        <v>0.37414965986394561</v>
      </c>
      <c r="P243" s="68">
        <v>0.37394957983193278</v>
      </c>
      <c r="Q243" s="380" t="s">
        <v>28</v>
      </c>
      <c r="R243" s="84">
        <f t="shared" si="37"/>
        <v>2.6743589743589746</v>
      </c>
      <c r="S243" s="84">
        <f t="shared" si="36"/>
        <v>2.6727272727272724</v>
      </c>
      <c r="T243" s="84">
        <f t="shared" si="36"/>
        <v>2.6741573033707864</v>
      </c>
    </row>
    <row r="244" spans="1:20">
      <c r="B244" t="s">
        <v>49</v>
      </c>
      <c r="C244" s="361">
        <f>C228</f>
        <v>0.375</v>
      </c>
      <c r="D244" s="102">
        <f t="shared" si="38"/>
        <v>2.6666666666666665</v>
      </c>
      <c r="E244" s="360">
        <f t="shared" si="40"/>
        <v>2.9333333333333326E-2</v>
      </c>
      <c r="G244" t="s">
        <v>49</v>
      </c>
      <c r="H244" s="361">
        <f>D228</f>
        <v>0.35899999999999999</v>
      </c>
      <c r="I244" s="102">
        <f t="shared" si="39"/>
        <v>2.785515320334262</v>
      </c>
      <c r="J244" s="360">
        <f>E228</f>
        <v>0.25700000000000001</v>
      </c>
      <c r="K244" s="102">
        <f t="shared" si="39"/>
        <v>3.8910505836575875</v>
      </c>
      <c r="M244" t="s">
        <v>49</v>
      </c>
    </row>
    <row r="245" spans="1:20">
      <c r="C245" s="381"/>
      <c r="D245" s="382">
        <f>AVERAGE(D235:D244)</f>
        <v>2.670670529253004</v>
      </c>
      <c r="E245" s="383"/>
      <c r="G245" t="s">
        <v>347</v>
      </c>
      <c r="H245" s="384"/>
      <c r="I245" s="382">
        <f>AVERAGE(I237:I244)</f>
        <v>2.5555451860354732</v>
      </c>
      <c r="J245" s="385"/>
      <c r="K245" s="382">
        <f>AVERAGE(K237:K239)</f>
        <v>3.8052532770241112</v>
      </c>
      <c r="M245" t="s">
        <v>347</v>
      </c>
      <c r="P245" s="68">
        <f>AVERAGE(P237:P243)</f>
        <v>0.38232275873345356</v>
      </c>
      <c r="R245" s="374">
        <f>AVERAGE(R237:R243)</f>
        <v>2.9075853166575989</v>
      </c>
      <c r="S245" s="374">
        <f>AVERAGE(S237:S243)</f>
        <v>2.1714609500841058</v>
      </c>
      <c r="T245" s="374">
        <f>AVERAGE(T237:T243)</f>
        <v>2.6309666456448655</v>
      </c>
    </row>
    <row r="246" spans="1:20">
      <c r="C246" s="381"/>
      <c r="D246" s="383"/>
      <c r="E246" s="383"/>
      <c r="H246" s="381"/>
      <c r="I246" s="382"/>
      <c r="J246" s="385"/>
      <c r="K246" s="382"/>
    </row>
    <row r="247" spans="1:20" ht="15">
      <c r="A247" t="s">
        <v>36</v>
      </c>
      <c r="B247" s="122" t="s">
        <v>531</v>
      </c>
      <c r="C247" s="386"/>
      <c r="D247" s="387"/>
      <c r="E247" s="387"/>
      <c r="F247" s="26"/>
      <c r="G247" s="26"/>
      <c r="H247" s="386"/>
      <c r="I247" s="388"/>
      <c r="J247" s="389"/>
      <c r="K247" s="388"/>
    </row>
    <row r="248" spans="1:20" ht="15.75">
      <c r="B248" s="390" t="s">
        <v>532</v>
      </c>
      <c r="C248" s="391"/>
      <c r="D248" s="391"/>
      <c r="I248" s="382"/>
      <c r="J248" s="385"/>
      <c r="K248" s="382"/>
      <c r="N248" t="s">
        <v>417</v>
      </c>
      <c r="O248" s="129" t="s">
        <v>506</v>
      </c>
    </row>
    <row r="249" spans="1:20">
      <c r="B249" s="5" t="s">
        <v>533</v>
      </c>
      <c r="C249" s="293" t="s">
        <v>22</v>
      </c>
      <c r="D249" s="392" t="s">
        <v>23</v>
      </c>
      <c r="E249" s="392" t="s">
        <v>24</v>
      </c>
      <c r="F249" s="293" t="s">
        <v>25</v>
      </c>
      <c r="G249" t="s">
        <v>26</v>
      </c>
      <c r="H249" s="293" t="s">
        <v>27</v>
      </c>
      <c r="I249" s="293" t="s">
        <v>28</v>
      </c>
      <c r="J249" s="293" t="s">
        <v>49</v>
      </c>
      <c r="K249" s="293" t="s">
        <v>51</v>
      </c>
      <c r="O249" t="s">
        <v>507</v>
      </c>
    </row>
    <row r="250" spans="1:20">
      <c r="B250" t="s">
        <v>534</v>
      </c>
      <c r="C250" s="332">
        <v>734</v>
      </c>
      <c r="D250" s="332">
        <v>481</v>
      </c>
      <c r="E250" s="332">
        <v>433</v>
      </c>
      <c r="F250" s="332">
        <v>654</v>
      </c>
      <c r="G250" s="391">
        <v>592</v>
      </c>
      <c r="H250" s="2">
        <v>2065</v>
      </c>
      <c r="I250" s="393">
        <v>578</v>
      </c>
      <c r="J250" s="393">
        <v>1221</v>
      </c>
      <c r="K250" s="393"/>
    </row>
    <row r="251" spans="1:20">
      <c r="B251" t="s">
        <v>5</v>
      </c>
      <c r="C251" s="332">
        <v>206</v>
      </c>
      <c r="D251" s="332">
        <v>191</v>
      </c>
      <c r="E251" s="332">
        <v>257</v>
      </c>
      <c r="F251" s="332">
        <v>304</v>
      </c>
      <c r="G251" s="391">
        <v>164</v>
      </c>
      <c r="H251" s="2">
        <v>740</v>
      </c>
      <c r="I251" s="393">
        <v>184</v>
      </c>
      <c r="J251" s="393">
        <v>641</v>
      </c>
      <c r="K251" s="393"/>
    </row>
    <row r="252" spans="1:20">
      <c r="B252" t="s">
        <v>332</v>
      </c>
      <c r="C252" s="332">
        <v>60</v>
      </c>
      <c r="D252" s="332">
        <v>35</v>
      </c>
      <c r="E252" s="332">
        <v>51</v>
      </c>
      <c r="F252" s="332">
        <v>32</v>
      </c>
      <c r="G252" s="391">
        <v>37</v>
      </c>
      <c r="H252" s="2">
        <v>43</v>
      </c>
      <c r="I252" s="393">
        <v>28</v>
      </c>
      <c r="J252" s="393">
        <v>66</v>
      </c>
      <c r="K252" s="393"/>
    </row>
    <row r="253" spans="1:20">
      <c r="C253" s="332"/>
      <c r="D253" s="332"/>
      <c r="E253" s="332"/>
      <c r="F253" s="332"/>
      <c r="G253" s="391"/>
      <c r="H253" s="2"/>
      <c r="I253" s="393"/>
      <c r="J253" s="385"/>
      <c r="K253" s="382"/>
    </row>
    <row r="254" spans="1:20" ht="15">
      <c r="A254" t="s">
        <v>36</v>
      </c>
      <c r="B254" s="122" t="s">
        <v>535</v>
      </c>
      <c r="C254" s="394"/>
      <c r="D254" s="394"/>
      <c r="E254" s="394"/>
      <c r="F254" s="394"/>
      <c r="G254" s="395"/>
      <c r="H254" s="364"/>
      <c r="I254" s="396"/>
      <c r="J254" s="389"/>
      <c r="K254" s="388"/>
    </row>
    <row r="255" spans="1:20" ht="15">
      <c r="B255" s="43" t="s">
        <v>536</v>
      </c>
      <c r="C255" s="332" t="s">
        <v>537</v>
      </c>
      <c r="D255" s="332"/>
      <c r="E255" s="332"/>
      <c r="F255" s="332"/>
      <c r="G255" s="391"/>
      <c r="H255" s="2"/>
      <c r="I255" s="393"/>
      <c r="J255" s="385"/>
      <c r="K255" s="382"/>
      <c r="N255" t="s">
        <v>417</v>
      </c>
      <c r="O255" s="345" t="s">
        <v>538</v>
      </c>
    </row>
    <row r="256" spans="1:20" ht="28.5">
      <c r="C256" s="523" t="s">
        <v>539</v>
      </c>
      <c r="D256" s="523" t="s">
        <v>540</v>
      </c>
      <c r="E256" s="523" t="s">
        <v>541</v>
      </c>
      <c r="F256" s="332"/>
      <c r="G256" s="391"/>
      <c r="H256" s="2"/>
      <c r="I256" s="393"/>
      <c r="J256" s="385"/>
      <c r="K256" s="382"/>
    </row>
    <row r="257" spans="1:15">
      <c r="B257" t="s">
        <v>4</v>
      </c>
      <c r="C257" s="361">
        <v>7.3999999999999996E-2</v>
      </c>
      <c r="D257" s="361">
        <v>6.6000000000000003E-2</v>
      </c>
      <c r="E257" s="361">
        <v>7.2999999999999995E-2</v>
      </c>
      <c r="F257" s="332"/>
      <c r="G257" s="391"/>
      <c r="H257" s="2"/>
      <c r="I257" s="393"/>
      <c r="J257" s="385"/>
      <c r="K257" s="382"/>
    </row>
    <row r="258" spans="1:15">
      <c r="B258" t="s">
        <v>332</v>
      </c>
      <c r="C258" s="361">
        <v>8.5000000000000006E-2</v>
      </c>
      <c r="D258" s="361">
        <v>5.0999999999999997E-2</v>
      </c>
      <c r="E258" s="361">
        <v>8.2000000000000003E-2</v>
      </c>
      <c r="F258" s="332"/>
      <c r="G258" s="391"/>
      <c r="H258" s="2"/>
      <c r="I258" s="393"/>
      <c r="J258" s="385"/>
      <c r="K258" s="382"/>
    </row>
    <row r="259" spans="1:15">
      <c r="B259" t="s">
        <v>5</v>
      </c>
      <c r="C259" s="361">
        <v>0.17699999999999999</v>
      </c>
      <c r="D259" s="361">
        <v>0.16800000000000001</v>
      </c>
      <c r="E259" s="361">
        <v>0.17299999999999999</v>
      </c>
      <c r="H259" s="381"/>
      <c r="I259" s="382"/>
      <c r="J259" s="385"/>
      <c r="K259" s="382"/>
    </row>
    <row r="260" spans="1:15">
      <c r="B260" t="s">
        <v>542</v>
      </c>
      <c r="C260" s="361">
        <v>0.09</v>
      </c>
      <c r="D260" s="361">
        <v>0.114</v>
      </c>
      <c r="E260" s="361">
        <v>9.5000000000000001E-2</v>
      </c>
      <c r="H260" s="381"/>
      <c r="I260" s="382"/>
      <c r="J260" s="385"/>
      <c r="K260" s="382"/>
    </row>
    <row r="261" spans="1:15">
      <c r="C261" s="345"/>
      <c r="D261" s="361"/>
      <c r="E261" s="361"/>
      <c r="H261" s="381"/>
      <c r="I261" s="382"/>
      <c r="J261" s="385"/>
      <c r="K261" s="382"/>
    </row>
    <row r="262" spans="1:15" ht="15">
      <c r="A262" t="s">
        <v>36</v>
      </c>
      <c r="B262" s="122" t="s">
        <v>543</v>
      </c>
      <c r="C262" s="397"/>
      <c r="D262" s="397"/>
      <c r="E262" s="397"/>
      <c r="F262" s="122"/>
      <c r="G262" s="122"/>
      <c r="H262" s="398"/>
      <c r="I262" s="399"/>
      <c r="J262" s="400"/>
      <c r="K262" s="399"/>
      <c r="N262" t="s">
        <v>417</v>
      </c>
      <c r="O262" s="345" t="s">
        <v>279</v>
      </c>
    </row>
    <row r="263" spans="1:15">
      <c r="C263" s="361"/>
      <c r="D263" s="361"/>
      <c r="E263" s="361"/>
      <c r="H263" s="381"/>
      <c r="I263" s="382"/>
      <c r="J263" s="385"/>
      <c r="K263" s="382"/>
      <c r="O263" s="105" t="s">
        <v>508</v>
      </c>
    </row>
    <row r="264" spans="1:15" ht="15">
      <c r="B264" s="43" t="s">
        <v>544</v>
      </c>
      <c r="E264">
        <v>3</v>
      </c>
      <c r="H264" s="381"/>
      <c r="I264" s="382"/>
      <c r="J264" s="385"/>
      <c r="K264" s="382"/>
    </row>
    <row r="265" spans="1:15">
      <c r="C265" s="361"/>
      <c r="D265" s="361"/>
      <c r="E265" s="361"/>
      <c r="H265" s="381"/>
      <c r="I265" s="382"/>
      <c r="J265" s="385"/>
      <c r="K265" s="382"/>
    </row>
    <row r="266" spans="1:15" ht="15">
      <c r="B266" s="43" t="s">
        <v>545</v>
      </c>
      <c r="C266" s="401"/>
      <c r="D266" s="401"/>
      <c r="E266" s="401"/>
      <c r="H266" s="381"/>
      <c r="I266" s="382"/>
      <c r="J266" s="385"/>
      <c r="K266" s="382"/>
    </row>
    <row r="267" spans="1:15">
      <c r="C267" s="401" t="s">
        <v>27</v>
      </c>
      <c r="D267" s="401" t="s">
        <v>28</v>
      </c>
      <c r="E267" s="401" t="s">
        <v>49</v>
      </c>
      <c r="H267" s="381"/>
      <c r="I267" s="382"/>
      <c r="J267" s="385"/>
      <c r="K267" s="382"/>
    </row>
    <row r="268" spans="1:15">
      <c r="B268" t="s">
        <v>334</v>
      </c>
      <c r="C268" s="402">
        <v>16.065573770491802</v>
      </c>
      <c r="D268" s="402">
        <v>6.557377049180328</v>
      </c>
      <c r="E268" s="402"/>
      <c r="H268" s="381"/>
      <c r="I268" s="382"/>
      <c r="J268" s="385"/>
      <c r="K268" s="382"/>
    </row>
    <row r="269" spans="1:15">
      <c r="B269" t="s">
        <v>4</v>
      </c>
      <c r="C269" s="402">
        <v>20.491803278688526</v>
      </c>
      <c r="D269" s="402">
        <v>9.1803278688524586</v>
      </c>
      <c r="E269" s="402">
        <v>4.7540983606557381</v>
      </c>
      <c r="F269" s="315"/>
      <c r="H269" s="381"/>
      <c r="I269" s="382"/>
      <c r="J269" s="385"/>
      <c r="K269" s="382"/>
    </row>
    <row r="270" spans="1:15">
      <c r="B270" t="s">
        <v>5</v>
      </c>
      <c r="C270" s="402">
        <v>10.819672131147541</v>
      </c>
      <c r="D270" s="402">
        <v>8.8524590163934427</v>
      </c>
      <c r="E270" s="402">
        <v>6.557377049180328</v>
      </c>
      <c r="F270" s="315"/>
      <c r="H270" s="381"/>
      <c r="I270" s="382"/>
      <c r="J270" s="385"/>
      <c r="K270" s="382"/>
    </row>
    <row r="271" spans="1:15">
      <c r="B271" t="s">
        <v>546</v>
      </c>
      <c r="C271" s="402">
        <v>15.081967213114755</v>
      </c>
      <c r="D271" s="402">
        <v>10.983606557377049</v>
      </c>
      <c r="E271" s="402">
        <v>8.5245901639344268</v>
      </c>
      <c r="F271" s="315"/>
      <c r="H271" s="381"/>
      <c r="I271" s="382"/>
      <c r="J271" s="385"/>
      <c r="K271" s="382"/>
    </row>
    <row r="272" spans="1:15">
      <c r="B272" t="s">
        <v>361</v>
      </c>
      <c r="C272" s="402">
        <v>10.327868852459016</v>
      </c>
      <c r="D272" s="402">
        <v>7.7049180327868854</v>
      </c>
      <c r="E272" s="402">
        <v>7.5409836065573774</v>
      </c>
      <c r="F272" s="315"/>
      <c r="H272" s="381"/>
      <c r="I272" s="382"/>
      <c r="J272" s="385"/>
      <c r="K272" s="382"/>
    </row>
    <row r="273" spans="1:15">
      <c r="B273" t="s">
        <v>332</v>
      </c>
      <c r="C273" s="402">
        <v>21.803278688524589</v>
      </c>
      <c r="D273" s="402">
        <v>9.1803278688524586</v>
      </c>
      <c r="E273" s="402">
        <v>4.4262295081967213</v>
      </c>
      <c r="F273" s="315"/>
      <c r="H273" s="381"/>
      <c r="I273" s="382"/>
      <c r="J273" s="385"/>
      <c r="K273" s="382"/>
    </row>
    <row r="274" spans="1:15">
      <c r="B274" t="s">
        <v>6</v>
      </c>
      <c r="C274" s="402">
        <v>12.295081967213115</v>
      </c>
      <c r="D274" s="402">
        <v>7.8688524590163933</v>
      </c>
      <c r="E274" s="402">
        <v>5.081967213114754</v>
      </c>
      <c r="F274" s="315"/>
      <c r="H274" s="381"/>
      <c r="I274" s="382"/>
      <c r="J274" s="385"/>
      <c r="K274" s="382"/>
    </row>
    <row r="275" spans="1:15">
      <c r="C275" s="361"/>
      <c r="D275" s="361"/>
      <c r="E275" s="361"/>
      <c r="H275" s="381"/>
      <c r="I275" s="382"/>
      <c r="J275" s="385"/>
      <c r="K275" s="382"/>
    </row>
    <row r="277" spans="1:15" ht="15">
      <c r="A277" t="s">
        <v>36</v>
      </c>
      <c r="B277" s="122" t="s">
        <v>547</v>
      </c>
      <c r="C277" s="26"/>
      <c r="D277" s="26"/>
      <c r="E277" s="26"/>
      <c r="F277" s="26"/>
      <c r="G277" s="26"/>
      <c r="H277" s="26"/>
      <c r="I277" s="26"/>
      <c r="J277" s="26"/>
      <c r="K277" s="26"/>
    </row>
    <row r="278" spans="1:15" ht="15">
      <c r="B278" s="43"/>
    </row>
    <row r="279" spans="1:15">
      <c r="B279" s="288" t="s">
        <v>1036</v>
      </c>
      <c r="C279" s="629"/>
      <c r="D279" s="629"/>
      <c r="E279" s="629"/>
      <c r="F279" s="629"/>
      <c r="G279" s="629"/>
    </row>
    <row r="280" spans="1:15">
      <c r="B280" s="288"/>
      <c r="C280" s="629"/>
      <c r="D280" s="787" t="s">
        <v>4</v>
      </c>
      <c r="E280" s="787" t="s">
        <v>4</v>
      </c>
      <c r="F280" s="787" t="s">
        <v>5</v>
      </c>
      <c r="G280" s="787" t="s">
        <v>5</v>
      </c>
      <c r="N280" t="s">
        <v>263</v>
      </c>
      <c r="O280" t="s">
        <v>37</v>
      </c>
    </row>
    <row r="281" spans="1:15" ht="36" customHeight="1">
      <c r="B281" s="788" t="s">
        <v>548</v>
      </c>
      <c r="C281" s="788" t="s">
        <v>549</v>
      </c>
      <c r="D281" s="788" t="s">
        <v>550</v>
      </c>
      <c r="E281" s="788" t="s">
        <v>1037</v>
      </c>
      <c r="F281" s="788" t="s">
        <v>550</v>
      </c>
      <c r="G281" s="788" t="s">
        <v>1037</v>
      </c>
      <c r="H281" s="3"/>
      <c r="I281" s="403"/>
      <c r="J281" s="404"/>
      <c r="N281" t="s">
        <v>1039</v>
      </c>
    </row>
    <row r="282" spans="1:15">
      <c r="B282" s="637">
        <v>44013</v>
      </c>
      <c r="C282" s="637">
        <v>43922</v>
      </c>
      <c r="D282" s="789">
        <v>42139</v>
      </c>
      <c r="E282" s="790">
        <v>24511</v>
      </c>
      <c r="F282" s="638"/>
      <c r="G282" s="790"/>
      <c r="H282" s="3"/>
      <c r="I282" s="406"/>
      <c r="J282" s="3"/>
      <c r="O282" t="s">
        <v>551</v>
      </c>
    </row>
    <row r="283" spans="1:15">
      <c r="B283" s="637">
        <v>44197</v>
      </c>
      <c r="C283" s="637">
        <v>44136</v>
      </c>
      <c r="D283" s="789">
        <v>42231</v>
      </c>
      <c r="E283" s="790">
        <v>21253</v>
      </c>
      <c r="F283" s="791"/>
      <c r="G283" s="790"/>
      <c r="H283" s="3"/>
      <c r="I283" s="406"/>
      <c r="J283" s="3"/>
      <c r="O283" s="105" t="s">
        <v>552</v>
      </c>
    </row>
    <row r="284" spans="1:15">
      <c r="B284" s="637">
        <v>44348</v>
      </c>
      <c r="C284" s="637">
        <v>44287</v>
      </c>
      <c r="D284" s="789">
        <v>42231</v>
      </c>
      <c r="E284" s="790">
        <v>21165</v>
      </c>
      <c r="F284" s="791"/>
      <c r="G284" s="790"/>
      <c r="H284" s="3"/>
      <c r="I284" s="406"/>
      <c r="J284" s="3"/>
      <c r="O284" t="s">
        <v>553</v>
      </c>
    </row>
    <row r="285" spans="1:15">
      <c r="B285" s="637">
        <v>44531</v>
      </c>
      <c r="C285" s="637">
        <v>44440</v>
      </c>
      <c r="D285" s="789">
        <v>42330</v>
      </c>
      <c r="E285" s="790">
        <v>15794</v>
      </c>
      <c r="F285" s="791"/>
      <c r="G285" s="790"/>
      <c r="H285" s="3"/>
      <c r="I285" s="406"/>
      <c r="J285" s="3"/>
      <c r="O285" t="s">
        <v>554</v>
      </c>
    </row>
    <row r="286" spans="1:15">
      <c r="B286" s="637">
        <v>44743</v>
      </c>
      <c r="C286" s="637">
        <v>44621</v>
      </c>
      <c r="D286" s="792" t="s">
        <v>15</v>
      </c>
      <c r="E286" s="790">
        <v>18095</v>
      </c>
      <c r="F286" s="791"/>
      <c r="G286" s="790"/>
      <c r="H286" s="3"/>
      <c r="I286" s="408"/>
      <c r="J286" s="3"/>
      <c r="O286" t="s">
        <v>555</v>
      </c>
    </row>
    <row r="287" spans="1:15">
      <c r="B287" s="637">
        <v>44805</v>
      </c>
      <c r="C287" s="637">
        <v>44805</v>
      </c>
      <c r="D287" s="789">
        <v>42330</v>
      </c>
      <c r="E287" s="790">
        <v>12855</v>
      </c>
      <c r="F287" s="791"/>
      <c r="G287" s="790"/>
      <c r="H287" s="3"/>
      <c r="I287" s="408"/>
      <c r="J287" s="3"/>
    </row>
    <row r="288" spans="1:15">
      <c r="B288" s="637">
        <v>44896</v>
      </c>
      <c r="C288" s="637">
        <v>44896</v>
      </c>
      <c r="D288" s="789">
        <v>42085</v>
      </c>
      <c r="E288" s="790">
        <v>23020</v>
      </c>
      <c r="F288" s="793">
        <v>43777</v>
      </c>
      <c r="G288" s="790">
        <v>89</v>
      </c>
      <c r="H288" s="3"/>
      <c r="I288" s="408"/>
      <c r="J288" s="3"/>
    </row>
    <row r="289" spans="1:11">
      <c r="B289" s="637">
        <v>45017</v>
      </c>
      <c r="C289" s="637">
        <v>44986</v>
      </c>
      <c r="D289" s="789">
        <v>42193</v>
      </c>
      <c r="E289" s="790">
        <v>20936</v>
      </c>
      <c r="F289" s="793">
        <v>43252</v>
      </c>
      <c r="G289" s="790">
        <v>1133</v>
      </c>
      <c r="H289" s="3"/>
      <c r="I289" s="408"/>
      <c r="J289" s="3"/>
    </row>
    <row r="290" spans="1:11">
      <c r="B290" s="637">
        <v>45078</v>
      </c>
      <c r="C290" s="637">
        <v>45078</v>
      </c>
      <c r="D290" s="789">
        <v>42255</v>
      </c>
      <c r="E290" s="790">
        <v>18880</v>
      </c>
      <c r="F290" s="793">
        <v>42826</v>
      </c>
      <c r="G290" s="790">
        <v>2157</v>
      </c>
      <c r="H290" s="3"/>
      <c r="I290" s="408"/>
      <c r="J290" s="3"/>
    </row>
    <row r="291" spans="1:11">
      <c r="B291" s="637">
        <v>45170</v>
      </c>
      <c r="C291" s="637">
        <v>45170</v>
      </c>
      <c r="D291" s="789">
        <v>42256</v>
      </c>
      <c r="E291" s="790">
        <v>19711</v>
      </c>
      <c r="F291" s="793">
        <v>42826</v>
      </c>
      <c r="G291" s="790">
        <v>2393</v>
      </c>
      <c r="H291" s="3"/>
      <c r="I291" s="408"/>
      <c r="J291" s="3"/>
    </row>
    <row r="292" spans="1:11">
      <c r="B292" s="637">
        <v>45261</v>
      </c>
      <c r="C292" s="637">
        <v>45261</v>
      </c>
      <c r="D292" s="789">
        <v>42278</v>
      </c>
      <c r="E292" s="790">
        <v>16283</v>
      </c>
      <c r="F292" s="793">
        <v>43449</v>
      </c>
      <c r="G292" s="790">
        <v>533</v>
      </c>
      <c r="H292" s="3"/>
      <c r="I292" s="408"/>
      <c r="J292" s="3"/>
    </row>
    <row r="293" spans="1:11">
      <c r="B293" s="635">
        <v>45455</v>
      </c>
      <c r="C293" s="635">
        <v>45352</v>
      </c>
      <c r="D293" s="789">
        <v>42353</v>
      </c>
      <c r="E293" s="790">
        <v>13383</v>
      </c>
      <c r="F293" s="793">
        <v>44166</v>
      </c>
      <c r="G293" s="790">
        <v>115</v>
      </c>
      <c r="H293" s="3"/>
      <c r="I293" s="408"/>
      <c r="J293" s="3"/>
    </row>
    <row r="294" spans="1:11">
      <c r="B294" s="635">
        <v>45536</v>
      </c>
      <c r="C294" s="635">
        <v>45536</v>
      </c>
      <c r="D294" s="789">
        <v>42353</v>
      </c>
      <c r="E294" s="790">
        <v>13549</v>
      </c>
      <c r="F294" s="793">
        <v>44166</v>
      </c>
      <c r="G294" s="790">
        <v>205</v>
      </c>
      <c r="H294" s="3"/>
      <c r="I294" s="408"/>
      <c r="J294" s="3"/>
    </row>
    <row r="295" spans="1:11">
      <c r="B295" s="635">
        <v>45627</v>
      </c>
      <c r="C295" s="635">
        <v>45627</v>
      </c>
      <c r="D295" s="793">
        <v>42566</v>
      </c>
      <c r="E295" s="790">
        <v>12163</v>
      </c>
      <c r="F295" s="793">
        <v>44562</v>
      </c>
      <c r="G295" s="790">
        <v>89</v>
      </c>
      <c r="H295" s="3"/>
      <c r="I295" s="408"/>
      <c r="J295" s="3"/>
    </row>
    <row r="296" spans="1:11">
      <c r="B296" s="635">
        <v>45809</v>
      </c>
      <c r="C296" s="635">
        <v>45809</v>
      </c>
      <c r="D296" s="793">
        <v>41661</v>
      </c>
      <c r="E296" s="790">
        <v>30313</v>
      </c>
      <c r="F296" s="793">
        <v>43586</v>
      </c>
      <c r="G296" s="790">
        <v>755</v>
      </c>
      <c r="H296" s="3"/>
      <c r="I296" s="408"/>
      <c r="J296" s="3"/>
    </row>
    <row r="297" spans="1:11">
      <c r="B297" s="635">
        <v>45901</v>
      </c>
      <c r="C297" s="635">
        <v>45901</v>
      </c>
      <c r="D297" s="793">
        <v>42346</v>
      </c>
      <c r="E297" s="790">
        <v>14670</v>
      </c>
      <c r="F297" s="793">
        <v>43784</v>
      </c>
      <c r="G297" s="790">
        <v>470</v>
      </c>
      <c r="H297" s="3"/>
      <c r="I297" s="408"/>
      <c r="J297" s="3"/>
    </row>
    <row r="298" spans="1:11">
      <c r="B298" s="629"/>
      <c r="C298" s="629"/>
      <c r="D298" s="629"/>
      <c r="E298" s="629"/>
      <c r="F298" s="629"/>
      <c r="G298" s="794"/>
      <c r="H298" s="3"/>
      <c r="I298" s="408"/>
      <c r="J298" s="3"/>
    </row>
    <row r="299" spans="1:11">
      <c r="B299" s="629" t="s">
        <v>1038</v>
      </c>
      <c r="C299" s="629"/>
      <c r="D299" s="629"/>
      <c r="E299" s="629"/>
      <c r="F299" s="629"/>
      <c r="G299" s="524"/>
      <c r="H299" s="3"/>
      <c r="I299" s="406"/>
      <c r="J299" s="3"/>
    </row>
    <row r="300" spans="1:11">
      <c r="B300" s="795" t="s">
        <v>1041</v>
      </c>
      <c r="C300" s="629"/>
      <c r="D300" s="629"/>
      <c r="E300" s="629"/>
      <c r="F300" s="629"/>
      <c r="G300" s="524"/>
      <c r="H300" s="3"/>
      <c r="I300" s="406"/>
      <c r="J300" s="3"/>
    </row>
    <row r="301" spans="1:11">
      <c r="B301" s="795" t="s">
        <v>1040</v>
      </c>
      <c r="C301" s="629"/>
      <c r="D301" s="629"/>
      <c r="E301" s="629"/>
      <c r="F301" s="629"/>
      <c r="G301" s="524"/>
      <c r="H301" s="3"/>
      <c r="I301" s="406"/>
      <c r="J301" s="3"/>
    </row>
    <row r="302" spans="1:11">
      <c r="B302" s="795" t="s">
        <v>1042</v>
      </c>
      <c r="C302" s="629"/>
      <c r="D302" s="629"/>
      <c r="E302" s="629"/>
      <c r="F302" s="629"/>
      <c r="G302" s="524"/>
      <c r="H302" s="3"/>
      <c r="I302" s="406"/>
      <c r="J302" s="3"/>
    </row>
    <row r="303" spans="1:11">
      <c r="B303" s="343"/>
      <c r="C303" s="343"/>
      <c r="D303" s="411"/>
      <c r="E303" s="410"/>
      <c r="G303" s="3"/>
      <c r="H303" s="3"/>
      <c r="I303" s="3"/>
      <c r="J303" s="3"/>
    </row>
    <row r="304" spans="1:11" ht="15">
      <c r="A304" t="s">
        <v>36</v>
      </c>
      <c r="B304" s="122" t="s">
        <v>556</v>
      </c>
      <c r="C304" s="26"/>
      <c r="D304" s="413"/>
      <c r="E304" s="414"/>
      <c r="F304" s="26"/>
      <c r="G304" s="26"/>
      <c r="H304" s="26"/>
      <c r="I304" s="26"/>
      <c r="J304" s="26"/>
      <c r="K304" s="26"/>
    </row>
    <row r="305" spans="1:15">
      <c r="B305" s="415"/>
      <c r="C305" s="129"/>
      <c r="D305" s="416"/>
      <c r="E305" s="293"/>
    </row>
    <row r="306" spans="1:15" ht="15">
      <c r="A306" t="s">
        <v>36</v>
      </c>
      <c r="B306" s="417" t="s">
        <v>557</v>
      </c>
      <c r="C306" s="418"/>
      <c r="D306" s="419"/>
      <c r="N306" s="43" t="s">
        <v>288</v>
      </c>
      <c r="O306" s="105" t="s">
        <v>558</v>
      </c>
    </row>
    <row r="307" spans="1:15">
      <c r="B307" s="420"/>
      <c r="C307" s="420"/>
      <c r="D307" s="421"/>
    </row>
    <row r="308" spans="1:15" ht="15">
      <c r="B308" s="323" t="s">
        <v>559</v>
      </c>
      <c r="C308" s="357" t="s">
        <v>560</v>
      </c>
      <c r="D308" s="357" t="s">
        <v>561</v>
      </c>
      <c r="E308" s="422" t="s">
        <v>562</v>
      </c>
      <c r="F308" s="43"/>
      <c r="G308" s="43" t="s">
        <v>563</v>
      </c>
    </row>
    <row r="309" spans="1:15">
      <c r="B309" s="307" t="s">
        <v>564</v>
      </c>
      <c r="C309" s="409">
        <v>2143</v>
      </c>
      <c r="D309" s="307"/>
      <c r="E309" s="423">
        <f>C309/D$312</f>
        <v>0.19610175695461202</v>
      </c>
      <c r="G309">
        <v>2264</v>
      </c>
    </row>
    <row r="310" spans="1:15">
      <c r="B310" s="307" t="s">
        <v>565</v>
      </c>
      <c r="C310" s="409">
        <v>2540</v>
      </c>
      <c r="D310" s="409"/>
      <c r="E310" s="423">
        <f>C310/D$312</f>
        <v>0.23243045387994143</v>
      </c>
      <c r="G310">
        <v>1686</v>
      </c>
    </row>
    <row r="311" spans="1:15">
      <c r="B311" s="307" t="s">
        <v>566</v>
      </c>
      <c r="C311" s="409">
        <v>3005</v>
      </c>
      <c r="D311" s="409"/>
      <c r="E311" s="423">
        <f>C311/D$312</f>
        <v>0.2749816983894583</v>
      </c>
      <c r="G311">
        <v>1258</v>
      </c>
    </row>
    <row r="312" spans="1:15">
      <c r="B312" s="424" t="s">
        <v>567</v>
      </c>
      <c r="C312" s="409">
        <v>3240</v>
      </c>
      <c r="D312" s="409">
        <f>SUM(C309:C312)</f>
        <v>10928</v>
      </c>
      <c r="E312" s="423">
        <f>C312/D$312</f>
        <v>0.29648609077598831</v>
      </c>
      <c r="G312" s="332">
        <v>1173</v>
      </c>
    </row>
    <row r="313" spans="1:15">
      <c r="B313" s="307" t="s">
        <v>81</v>
      </c>
      <c r="C313" s="409">
        <v>2941</v>
      </c>
      <c r="D313" s="307"/>
      <c r="E313" s="423">
        <f>C313/D$316</f>
        <v>0.20569310393061968</v>
      </c>
      <c r="G313" s="332">
        <v>1785</v>
      </c>
    </row>
    <row r="314" spans="1:15">
      <c r="B314" s="307" t="s">
        <v>82</v>
      </c>
      <c r="C314" s="409">
        <v>2309</v>
      </c>
      <c r="D314" s="409"/>
      <c r="E314" s="423">
        <f>C314/D$316</f>
        <v>0.16149111763883062</v>
      </c>
      <c r="G314" s="332">
        <v>2251</v>
      </c>
    </row>
    <row r="315" spans="1:15">
      <c r="B315" s="307" t="s">
        <v>83</v>
      </c>
      <c r="C315" s="409">
        <v>2473</v>
      </c>
      <c r="D315" s="409"/>
      <c r="E315" s="423">
        <f>C315/D$316</f>
        <v>0.17296125332214296</v>
      </c>
      <c r="G315" s="332">
        <v>3125</v>
      </c>
    </row>
    <row r="316" spans="1:15">
      <c r="B316" s="424" t="s">
        <v>84</v>
      </c>
      <c r="C316" s="409">
        <v>6575</v>
      </c>
      <c r="D316" s="409">
        <f>SUM(C313:C316)</f>
        <v>14298</v>
      </c>
      <c r="E316" s="423">
        <f>C316/D$316</f>
        <v>0.4598545251084068</v>
      </c>
      <c r="G316" s="332">
        <v>2562</v>
      </c>
      <c r="I316" s="332"/>
    </row>
    <row r="317" spans="1:15">
      <c r="B317" s="307" t="s">
        <v>85</v>
      </c>
      <c r="C317" s="409">
        <v>6277</v>
      </c>
      <c r="D317" s="409"/>
      <c r="E317" s="423">
        <f>C317/D$320</f>
        <v>0.44369831059588605</v>
      </c>
      <c r="G317" s="332">
        <v>1629</v>
      </c>
    </row>
    <row r="318" spans="1:15">
      <c r="B318" s="307" t="s">
        <v>86</v>
      </c>
      <c r="C318" s="409">
        <v>848</v>
      </c>
      <c r="D318" s="409"/>
      <c r="E318" s="423">
        <f>C318/D$320</f>
        <v>5.994203718102778E-2</v>
      </c>
      <c r="G318" s="332">
        <v>2501</v>
      </c>
    </row>
    <row r="319" spans="1:15">
      <c r="B319" s="307" t="s">
        <v>87</v>
      </c>
      <c r="C319" s="409">
        <v>1513</v>
      </c>
      <c r="D319" s="409"/>
      <c r="E319" s="423">
        <f>C319/D$320</f>
        <v>0.10694846964020641</v>
      </c>
      <c r="G319" s="332">
        <v>2093</v>
      </c>
    </row>
    <row r="320" spans="1:15">
      <c r="B320" s="424" t="s">
        <v>88</v>
      </c>
      <c r="C320" s="409">
        <v>5509</v>
      </c>
      <c r="D320" s="409">
        <f>SUM(C317:C320)</f>
        <v>14147</v>
      </c>
      <c r="E320" s="423">
        <f>C320/D$320</f>
        <v>0.38941118258287977</v>
      </c>
      <c r="G320" s="332">
        <v>3144</v>
      </c>
    </row>
    <row r="321" spans="2:9">
      <c r="B321" s="307" t="s">
        <v>90</v>
      </c>
      <c r="C321" s="409">
        <v>4395</v>
      </c>
      <c r="D321" s="409"/>
      <c r="E321" s="423">
        <f>C321/D$324</f>
        <v>0.36128236744759556</v>
      </c>
      <c r="G321" s="332">
        <v>3471</v>
      </c>
    </row>
    <row r="322" spans="2:9">
      <c r="B322" s="307" t="s">
        <v>50</v>
      </c>
      <c r="C322" s="409">
        <v>1731</v>
      </c>
      <c r="D322" s="409"/>
      <c r="E322" s="423">
        <f>C322/D$324</f>
        <v>0.14229346485819974</v>
      </c>
      <c r="G322" s="332">
        <v>3015</v>
      </c>
    </row>
    <row r="323" spans="2:9">
      <c r="B323" s="307" t="s">
        <v>52</v>
      </c>
      <c r="C323" s="409">
        <v>4402</v>
      </c>
      <c r="D323" s="409"/>
      <c r="E323" s="423">
        <f>C323/D$324</f>
        <v>0.36185778873818331</v>
      </c>
      <c r="G323" s="332">
        <v>2664</v>
      </c>
    </row>
    <row r="324" spans="2:9">
      <c r="B324" s="424" t="s">
        <v>54</v>
      </c>
      <c r="C324" s="409">
        <v>1637</v>
      </c>
      <c r="D324" s="409">
        <f>SUM(C321:C324)</f>
        <v>12165</v>
      </c>
      <c r="E324" s="423">
        <f>C324/D$324</f>
        <v>0.13456637895602136</v>
      </c>
      <c r="G324" s="332">
        <v>3093</v>
      </c>
      <c r="I324" s="68"/>
    </row>
    <row r="325" spans="2:9">
      <c r="B325" s="307" t="s">
        <v>56</v>
      </c>
      <c r="C325" s="409">
        <v>2862</v>
      </c>
      <c r="D325" s="409"/>
      <c r="E325" s="423">
        <f>C325/D$328</f>
        <v>0.44551681195516812</v>
      </c>
      <c r="G325" s="332">
        <v>3044</v>
      </c>
    </row>
    <row r="326" spans="2:9">
      <c r="B326" s="307" t="s">
        <v>58</v>
      </c>
      <c r="C326" s="409">
        <v>1607</v>
      </c>
      <c r="D326" s="409"/>
      <c r="E326" s="423">
        <f>C326/D$328</f>
        <v>0.25015566625155666</v>
      </c>
      <c r="G326" s="332">
        <v>3615</v>
      </c>
    </row>
    <row r="327" spans="2:9">
      <c r="B327" s="307" t="s">
        <v>60</v>
      </c>
      <c r="C327" s="409">
        <v>617</v>
      </c>
      <c r="D327" s="409"/>
      <c r="E327" s="423">
        <f>C327/D$328</f>
        <v>9.6046077210460767E-2</v>
      </c>
      <c r="G327" s="332">
        <v>4424</v>
      </c>
    </row>
    <row r="328" spans="2:9">
      <c r="B328" s="424" t="s">
        <v>62</v>
      </c>
      <c r="C328" s="409">
        <v>1338</v>
      </c>
      <c r="D328" s="409">
        <f>SUM(C325:C328)</f>
        <v>6424</v>
      </c>
      <c r="E328" s="423">
        <f>C328/D$328</f>
        <v>0.20828144458281445</v>
      </c>
      <c r="G328" s="332">
        <v>4039</v>
      </c>
    </row>
    <row r="329" spans="2:9">
      <c r="B329" s="307" t="s">
        <v>64</v>
      </c>
      <c r="C329" s="409">
        <v>1808</v>
      </c>
      <c r="D329" s="409"/>
      <c r="E329" s="423">
        <f>C329/D$332</f>
        <v>0.43109203624225084</v>
      </c>
      <c r="G329" s="332">
        <v>2573</v>
      </c>
    </row>
    <row r="330" spans="2:9">
      <c r="B330" s="307" t="s">
        <v>65</v>
      </c>
      <c r="C330" s="409">
        <v>580</v>
      </c>
      <c r="D330" s="409"/>
      <c r="E330" s="423">
        <f>C330/D$332</f>
        <v>0.13829279923700524</v>
      </c>
      <c r="G330" s="332">
        <v>975</v>
      </c>
    </row>
    <row r="331" spans="2:9">
      <c r="B331" s="307" t="s">
        <v>66</v>
      </c>
      <c r="C331" s="409">
        <v>615</v>
      </c>
      <c r="D331" s="409"/>
      <c r="E331" s="423">
        <f>C331/D$332</f>
        <v>0.14663805436337626</v>
      </c>
      <c r="G331" s="332">
        <v>579</v>
      </c>
    </row>
    <row r="332" spans="2:9">
      <c r="B332" s="424" t="s">
        <v>67</v>
      </c>
      <c r="C332" s="409">
        <v>1191</v>
      </c>
      <c r="D332" s="409">
        <f>SUM(C329:C332)</f>
        <v>4194</v>
      </c>
      <c r="E332" s="423">
        <f>C332/D$332</f>
        <v>0.28397711015736765</v>
      </c>
      <c r="G332" s="332">
        <v>546</v>
      </c>
    </row>
    <row r="333" spans="2:9">
      <c r="B333" s="307" t="s">
        <v>68</v>
      </c>
      <c r="C333" s="409">
        <v>4264</v>
      </c>
      <c r="D333" s="409"/>
      <c r="E333" s="423">
        <f>C333/D$336</f>
        <v>0.97396071265417994</v>
      </c>
      <c r="G333" s="332">
        <v>455</v>
      </c>
    </row>
    <row r="334" spans="2:9">
      <c r="B334" s="307" t="s">
        <v>69</v>
      </c>
      <c r="C334" s="409">
        <v>21</v>
      </c>
      <c r="D334" s="409"/>
      <c r="E334" s="423">
        <f>C334/D$336</f>
        <v>4.796710826861581E-3</v>
      </c>
      <c r="G334" s="332">
        <v>904</v>
      </c>
    </row>
    <row r="335" spans="2:9">
      <c r="B335" s="307" t="s">
        <v>70</v>
      </c>
      <c r="C335" s="409">
        <v>40</v>
      </c>
      <c r="D335" s="409"/>
      <c r="E335" s="423">
        <f>C335/D$336</f>
        <v>9.136592051164915E-3</v>
      </c>
      <c r="G335" s="332">
        <v>922</v>
      </c>
    </row>
    <row r="336" spans="2:9">
      <c r="B336" s="424" t="s">
        <v>71</v>
      </c>
      <c r="C336" s="307">
        <v>53</v>
      </c>
      <c r="D336" s="409">
        <f>SUM(C333:C336)</f>
        <v>4378</v>
      </c>
      <c r="E336" s="423">
        <f>C336/D$336</f>
        <v>1.2105984467793512E-2</v>
      </c>
      <c r="G336" s="332">
        <v>1140</v>
      </c>
    </row>
    <row r="337" spans="1:11">
      <c r="B337" s="307" t="s">
        <v>72</v>
      </c>
      <c r="C337" s="409">
        <f>189-C338</f>
        <v>91</v>
      </c>
      <c r="D337" s="409"/>
      <c r="E337" s="423">
        <f>C337/D$340</f>
        <v>0.11179361179361179</v>
      </c>
      <c r="G337" s="332">
        <v>1123</v>
      </c>
    </row>
    <row r="338" spans="1:11">
      <c r="B338" s="307" t="s">
        <v>73</v>
      </c>
      <c r="C338" s="409">
        <v>98</v>
      </c>
      <c r="D338" s="409"/>
      <c r="E338" s="425">
        <f>C338/D$340</f>
        <v>0.12039312039312039</v>
      </c>
      <c r="G338" s="332">
        <v>882</v>
      </c>
    </row>
    <row r="339" spans="1:11">
      <c r="B339" s="307" t="s">
        <v>74</v>
      </c>
      <c r="C339" s="409">
        <v>169</v>
      </c>
      <c r="D339" s="409"/>
      <c r="E339" s="425">
        <f>C339/D$340</f>
        <v>0.20761670761670761</v>
      </c>
      <c r="G339" s="332">
        <v>727</v>
      </c>
    </row>
    <row r="340" spans="1:11">
      <c r="B340" s="424" t="s">
        <v>75</v>
      </c>
      <c r="C340" s="409">
        <v>456</v>
      </c>
      <c r="D340" s="409">
        <f>SUM(C337:C340)</f>
        <v>814</v>
      </c>
      <c r="E340" s="425">
        <f>C340/D$340</f>
        <v>0.56019656019656017</v>
      </c>
      <c r="G340" s="332">
        <v>316</v>
      </c>
    </row>
    <row r="341" spans="1:11">
      <c r="B341" s="307" t="s">
        <v>76</v>
      </c>
      <c r="C341" s="409">
        <v>189</v>
      </c>
      <c r="D341" s="307"/>
      <c r="E341" s="425"/>
      <c r="G341" s="332">
        <v>61</v>
      </c>
    </row>
    <row r="342" spans="1:11">
      <c r="B342" s="307" t="s">
        <v>77</v>
      </c>
      <c r="C342" s="307">
        <v>420</v>
      </c>
      <c r="D342" s="307"/>
      <c r="E342" s="425"/>
      <c r="G342" s="332">
        <v>152</v>
      </c>
    </row>
    <row r="343" spans="1:11">
      <c r="B343" s="307" t="s">
        <v>233</v>
      </c>
      <c r="C343" s="307"/>
      <c r="D343" s="307"/>
      <c r="E343" s="425"/>
      <c r="G343" s="332">
        <v>455</v>
      </c>
    </row>
    <row r="344" spans="1:11">
      <c r="B344" s="424" t="s">
        <v>234</v>
      </c>
      <c r="C344" s="307"/>
      <c r="D344" s="409"/>
      <c r="E344" s="425"/>
      <c r="G344" s="332">
        <v>535</v>
      </c>
    </row>
    <row r="346" spans="1:11" ht="15">
      <c r="B346" s="115" t="s">
        <v>568</v>
      </c>
      <c r="C346" s="116"/>
      <c r="D346" s="116"/>
      <c r="E346" s="116"/>
      <c r="F346" s="116"/>
      <c r="G346" s="116"/>
      <c r="H346" s="116"/>
      <c r="I346" s="116"/>
      <c r="J346" s="116"/>
    </row>
    <row r="348" spans="1:11" ht="15">
      <c r="A348" t="s">
        <v>36</v>
      </c>
      <c r="B348" s="426" t="s">
        <v>569</v>
      </c>
      <c r="C348" s="427"/>
    </row>
    <row r="349" spans="1:11" ht="15">
      <c r="B349" s="43" t="s">
        <v>570</v>
      </c>
      <c r="K349" s="105" t="s">
        <v>414</v>
      </c>
    </row>
    <row r="350" spans="1:11" ht="15">
      <c r="B350" s="43" t="s">
        <v>571</v>
      </c>
    </row>
    <row r="352" spans="1:11">
      <c r="B352" s="348" t="s">
        <v>572</v>
      </c>
      <c r="C352" s="348" t="s">
        <v>332</v>
      </c>
      <c r="D352" s="348" t="s">
        <v>334</v>
      </c>
      <c r="E352" s="348" t="s">
        <v>333</v>
      </c>
      <c r="F352" s="428" t="s">
        <v>4</v>
      </c>
      <c r="G352" s="348" t="s">
        <v>361</v>
      </c>
      <c r="H352" s="429" t="s">
        <v>5</v>
      </c>
      <c r="I352" s="348" t="s">
        <v>413</v>
      </c>
      <c r="J352" s="348" t="s">
        <v>168</v>
      </c>
    </row>
    <row r="353" spans="2:10">
      <c r="B353" s="343">
        <v>40909</v>
      </c>
      <c r="C353">
        <v>0</v>
      </c>
      <c r="D353">
        <v>0</v>
      </c>
      <c r="E353">
        <v>0</v>
      </c>
      <c r="F353" s="430">
        <v>3</v>
      </c>
      <c r="G353">
        <v>0</v>
      </c>
      <c r="H353" s="431">
        <v>0</v>
      </c>
      <c r="I353" s="332">
        <f>J353-SUM(C353:H353)</f>
        <v>0</v>
      </c>
      <c r="J353" s="332">
        <v>3</v>
      </c>
    </row>
    <row r="354" spans="2:10">
      <c r="B354" s="343">
        <v>40940</v>
      </c>
      <c r="C354">
        <v>0</v>
      </c>
      <c r="D354">
        <v>0</v>
      </c>
      <c r="E354">
        <v>0</v>
      </c>
      <c r="F354" s="430">
        <v>3</v>
      </c>
      <c r="G354">
        <v>0</v>
      </c>
      <c r="H354" s="431">
        <v>0</v>
      </c>
      <c r="I354" s="332">
        <f t="shared" ref="I354:I417" si="41">J354-SUM(C354:H354)</f>
        <v>0</v>
      </c>
      <c r="J354" s="332">
        <v>3</v>
      </c>
    </row>
    <row r="355" spans="2:10">
      <c r="B355" s="432">
        <v>40969</v>
      </c>
      <c r="C355" s="310">
        <v>0</v>
      </c>
      <c r="D355" s="310">
        <v>0</v>
      </c>
      <c r="E355" s="310">
        <v>0</v>
      </c>
      <c r="F355" s="433">
        <v>2</v>
      </c>
      <c r="G355" s="310">
        <v>0</v>
      </c>
      <c r="H355" s="434">
        <v>0</v>
      </c>
      <c r="I355" s="332">
        <f t="shared" si="41"/>
        <v>1</v>
      </c>
      <c r="J355" s="435">
        <v>3</v>
      </c>
    </row>
    <row r="356" spans="2:10">
      <c r="B356" s="343">
        <v>41000</v>
      </c>
      <c r="C356">
        <v>0</v>
      </c>
      <c r="D356">
        <v>0</v>
      </c>
      <c r="E356">
        <v>0</v>
      </c>
      <c r="F356" s="430">
        <v>2</v>
      </c>
      <c r="G356">
        <v>0</v>
      </c>
      <c r="H356" s="431">
        <v>0</v>
      </c>
      <c r="I356" s="332">
        <f t="shared" si="41"/>
        <v>0</v>
      </c>
      <c r="J356" s="332">
        <v>2</v>
      </c>
    </row>
    <row r="357" spans="2:10">
      <c r="B357" s="343">
        <v>41030</v>
      </c>
      <c r="C357">
        <v>0</v>
      </c>
      <c r="D357">
        <v>0</v>
      </c>
      <c r="E357">
        <v>0</v>
      </c>
      <c r="F357" s="430">
        <v>0</v>
      </c>
      <c r="G357">
        <v>0</v>
      </c>
      <c r="H357" s="431">
        <v>0</v>
      </c>
      <c r="I357" s="332">
        <f t="shared" si="41"/>
        <v>0</v>
      </c>
      <c r="J357" s="332">
        <v>0</v>
      </c>
    </row>
    <row r="358" spans="2:10">
      <c r="B358" s="432">
        <v>41061</v>
      </c>
      <c r="C358" s="310">
        <v>0</v>
      </c>
      <c r="D358" s="310">
        <v>0</v>
      </c>
      <c r="E358" s="310">
        <v>1</v>
      </c>
      <c r="F358" s="433">
        <v>2</v>
      </c>
      <c r="G358" s="310">
        <v>0</v>
      </c>
      <c r="H358" s="434">
        <v>0</v>
      </c>
      <c r="I358" s="332">
        <f t="shared" si="41"/>
        <v>0</v>
      </c>
      <c r="J358" s="435">
        <v>3</v>
      </c>
    </row>
    <row r="359" spans="2:10">
      <c r="B359" s="343">
        <v>41091</v>
      </c>
      <c r="C359">
        <v>1</v>
      </c>
      <c r="D359">
        <v>0</v>
      </c>
      <c r="E359">
        <v>0</v>
      </c>
      <c r="F359" s="430">
        <v>0</v>
      </c>
      <c r="G359">
        <v>0</v>
      </c>
      <c r="H359" s="431">
        <v>0</v>
      </c>
      <c r="I359" s="332">
        <f t="shared" si="41"/>
        <v>0</v>
      </c>
      <c r="J359" s="332">
        <v>1</v>
      </c>
    </row>
    <row r="360" spans="2:10">
      <c r="B360" s="343">
        <v>41122</v>
      </c>
      <c r="C360">
        <v>0</v>
      </c>
      <c r="D360">
        <v>0</v>
      </c>
      <c r="E360">
        <v>0</v>
      </c>
      <c r="F360" s="430">
        <v>0</v>
      </c>
      <c r="G360">
        <v>0</v>
      </c>
      <c r="H360" s="431">
        <v>0</v>
      </c>
      <c r="I360" s="332">
        <f t="shared" si="41"/>
        <v>0</v>
      </c>
      <c r="J360" s="332">
        <v>0</v>
      </c>
    </row>
    <row r="361" spans="2:10">
      <c r="B361" s="432">
        <v>41153</v>
      </c>
      <c r="C361" s="310">
        <v>0</v>
      </c>
      <c r="D361" s="310">
        <v>0</v>
      </c>
      <c r="E361" s="310">
        <v>0</v>
      </c>
      <c r="F361" s="433">
        <v>2</v>
      </c>
      <c r="G361" s="310">
        <v>0</v>
      </c>
      <c r="H361" s="434">
        <v>0</v>
      </c>
      <c r="I361" s="332">
        <f t="shared" si="41"/>
        <v>1</v>
      </c>
      <c r="J361" s="435">
        <v>3</v>
      </c>
    </row>
    <row r="362" spans="2:10">
      <c r="B362" s="436">
        <v>41183</v>
      </c>
      <c r="C362" s="437">
        <v>0</v>
      </c>
      <c r="D362" s="437">
        <v>0</v>
      </c>
      <c r="E362" s="437">
        <v>0</v>
      </c>
      <c r="F362" s="430">
        <v>1</v>
      </c>
      <c r="G362" s="437">
        <v>0</v>
      </c>
      <c r="H362" s="431">
        <v>0</v>
      </c>
      <c r="I362" s="332">
        <f t="shared" si="41"/>
        <v>0</v>
      </c>
      <c r="J362" s="438">
        <v>1</v>
      </c>
    </row>
    <row r="363" spans="2:10">
      <c r="B363" s="436">
        <v>41214</v>
      </c>
      <c r="C363" s="437">
        <v>0</v>
      </c>
      <c r="D363" s="437">
        <v>0</v>
      </c>
      <c r="E363" s="437">
        <v>0</v>
      </c>
      <c r="F363" s="430">
        <v>0</v>
      </c>
      <c r="G363" s="437">
        <v>0</v>
      </c>
      <c r="H363" s="431">
        <v>0</v>
      </c>
      <c r="I363" s="332">
        <f t="shared" si="41"/>
        <v>0</v>
      </c>
      <c r="J363" s="438">
        <v>0</v>
      </c>
    </row>
    <row r="364" spans="2:10">
      <c r="B364" s="439">
        <v>41244</v>
      </c>
      <c r="C364" s="440">
        <v>0</v>
      </c>
      <c r="D364" s="440">
        <v>0</v>
      </c>
      <c r="E364" s="440">
        <v>0</v>
      </c>
      <c r="F364" s="433">
        <v>0</v>
      </c>
      <c r="G364" s="440">
        <v>0</v>
      </c>
      <c r="H364" s="434">
        <v>0</v>
      </c>
      <c r="I364" s="332">
        <f t="shared" si="41"/>
        <v>0</v>
      </c>
      <c r="J364" s="441">
        <v>0</v>
      </c>
    </row>
    <row r="365" spans="2:10">
      <c r="B365" s="436">
        <v>41275</v>
      </c>
      <c r="C365" s="437">
        <v>0</v>
      </c>
      <c r="D365" s="437">
        <v>0</v>
      </c>
      <c r="E365" s="437">
        <v>0</v>
      </c>
      <c r="F365" s="430">
        <v>1</v>
      </c>
      <c r="G365" s="437">
        <v>0</v>
      </c>
      <c r="H365" s="431">
        <v>0</v>
      </c>
      <c r="I365" s="332">
        <f t="shared" si="41"/>
        <v>0</v>
      </c>
      <c r="J365" s="438">
        <v>1</v>
      </c>
    </row>
    <row r="366" spans="2:10">
      <c r="B366" s="436">
        <v>41306</v>
      </c>
      <c r="C366" s="437">
        <v>0</v>
      </c>
      <c r="D366" s="437">
        <v>0</v>
      </c>
      <c r="E366" s="437">
        <v>0</v>
      </c>
      <c r="F366" s="430">
        <v>1</v>
      </c>
      <c r="G366" s="437">
        <v>0</v>
      </c>
      <c r="H366" s="431">
        <v>0</v>
      </c>
      <c r="I366" s="332">
        <f t="shared" si="41"/>
        <v>0</v>
      </c>
      <c r="J366" s="438">
        <v>1</v>
      </c>
    </row>
    <row r="367" spans="2:10">
      <c r="B367" s="439">
        <v>41334</v>
      </c>
      <c r="C367" s="440">
        <v>0</v>
      </c>
      <c r="D367" s="440">
        <v>0</v>
      </c>
      <c r="E367" s="440">
        <v>0</v>
      </c>
      <c r="F367" s="433">
        <v>0</v>
      </c>
      <c r="G367" s="440">
        <v>0</v>
      </c>
      <c r="H367" s="434">
        <v>0</v>
      </c>
      <c r="I367" s="332">
        <f t="shared" si="41"/>
        <v>0</v>
      </c>
      <c r="J367" s="441">
        <v>0</v>
      </c>
    </row>
    <row r="368" spans="2:10">
      <c r="B368" s="436">
        <v>41365</v>
      </c>
      <c r="C368" s="437">
        <v>0</v>
      </c>
      <c r="D368" s="437">
        <v>0</v>
      </c>
      <c r="E368" s="437">
        <v>0</v>
      </c>
      <c r="F368" s="430">
        <v>0</v>
      </c>
      <c r="G368" s="437">
        <v>0</v>
      </c>
      <c r="H368" s="431">
        <v>0</v>
      </c>
      <c r="I368" s="332">
        <f t="shared" si="41"/>
        <v>0</v>
      </c>
      <c r="J368" s="438">
        <v>0</v>
      </c>
    </row>
    <row r="369" spans="2:10">
      <c r="B369" s="436">
        <v>41395</v>
      </c>
      <c r="C369" s="437">
        <v>0</v>
      </c>
      <c r="D369" s="437">
        <v>0</v>
      </c>
      <c r="E369" s="437">
        <v>0</v>
      </c>
      <c r="F369" s="430">
        <v>0</v>
      </c>
      <c r="G369" s="437">
        <v>0</v>
      </c>
      <c r="H369" s="431">
        <v>0</v>
      </c>
      <c r="I369" s="332">
        <f t="shared" si="41"/>
        <v>0</v>
      </c>
      <c r="J369" s="438">
        <v>0</v>
      </c>
    </row>
    <row r="370" spans="2:10">
      <c r="B370" s="439">
        <v>41426</v>
      </c>
      <c r="C370" s="440">
        <v>0</v>
      </c>
      <c r="D370" s="440">
        <v>0</v>
      </c>
      <c r="E370" s="440">
        <v>0</v>
      </c>
      <c r="F370" s="433">
        <v>0</v>
      </c>
      <c r="G370" s="440">
        <v>0</v>
      </c>
      <c r="H370" s="434">
        <v>0</v>
      </c>
      <c r="I370" s="332">
        <f t="shared" si="41"/>
        <v>0</v>
      </c>
      <c r="J370" s="441">
        <v>0</v>
      </c>
    </row>
    <row r="371" spans="2:10">
      <c r="B371" s="436">
        <v>41456</v>
      </c>
      <c r="C371" s="437">
        <v>0</v>
      </c>
      <c r="D371" s="437">
        <v>0</v>
      </c>
      <c r="E371" s="437">
        <v>0</v>
      </c>
      <c r="F371" s="430">
        <v>1</v>
      </c>
      <c r="G371" s="437">
        <v>0</v>
      </c>
      <c r="H371" s="431">
        <v>0</v>
      </c>
      <c r="I371" s="332">
        <f t="shared" si="41"/>
        <v>0</v>
      </c>
      <c r="J371" s="438">
        <v>1</v>
      </c>
    </row>
    <row r="372" spans="2:10">
      <c r="B372" s="436">
        <v>41487</v>
      </c>
      <c r="C372" s="437">
        <v>0</v>
      </c>
      <c r="D372" s="437">
        <v>0</v>
      </c>
      <c r="E372" s="437">
        <v>0</v>
      </c>
      <c r="F372" s="430">
        <v>0</v>
      </c>
      <c r="G372" s="437">
        <v>0</v>
      </c>
      <c r="H372" s="431">
        <v>0</v>
      </c>
      <c r="I372" s="332">
        <f t="shared" si="41"/>
        <v>0</v>
      </c>
      <c r="J372" s="438">
        <v>0</v>
      </c>
    </row>
    <row r="373" spans="2:10">
      <c r="B373" s="439">
        <v>41518</v>
      </c>
      <c r="C373" s="440">
        <v>0</v>
      </c>
      <c r="D373" s="440">
        <v>0</v>
      </c>
      <c r="E373" s="440">
        <v>0</v>
      </c>
      <c r="F373" s="433">
        <v>0</v>
      </c>
      <c r="G373" s="440">
        <v>0</v>
      </c>
      <c r="H373" s="434">
        <v>0</v>
      </c>
      <c r="I373" s="332">
        <f t="shared" si="41"/>
        <v>0</v>
      </c>
      <c r="J373" s="441">
        <v>0</v>
      </c>
    </row>
    <row r="374" spans="2:10">
      <c r="B374" s="442">
        <v>41548</v>
      </c>
      <c r="C374" s="443">
        <v>0</v>
      </c>
      <c r="D374" s="443">
        <v>0</v>
      </c>
      <c r="E374" s="443">
        <v>0</v>
      </c>
      <c r="F374" s="444">
        <v>1</v>
      </c>
      <c r="G374" s="443">
        <v>0</v>
      </c>
      <c r="H374" s="445">
        <v>0</v>
      </c>
      <c r="I374" s="332">
        <f t="shared" si="41"/>
        <v>0</v>
      </c>
      <c r="J374" s="446">
        <v>1</v>
      </c>
    </row>
    <row r="375" spans="2:10">
      <c r="B375" s="343">
        <v>41579</v>
      </c>
      <c r="C375">
        <v>0</v>
      </c>
      <c r="D375">
        <v>0</v>
      </c>
      <c r="E375">
        <v>0</v>
      </c>
      <c r="F375" s="430">
        <v>0</v>
      </c>
      <c r="G375">
        <v>0</v>
      </c>
      <c r="H375" s="431">
        <v>0</v>
      </c>
      <c r="I375" s="332">
        <f t="shared" si="41"/>
        <v>0</v>
      </c>
      <c r="J375" s="332">
        <v>0</v>
      </c>
    </row>
    <row r="376" spans="2:10">
      <c r="B376" s="432">
        <v>41609</v>
      </c>
      <c r="C376" s="310">
        <v>0</v>
      </c>
      <c r="D376" s="310">
        <v>0</v>
      </c>
      <c r="E376" s="310">
        <v>0</v>
      </c>
      <c r="F376" s="433">
        <v>3</v>
      </c>
      <c r="G376" s="310">
        <v>0</v>
      </c>
      <c r="H376" s="434">
        <v>0</v>
      </c>
      <c r="I376" s="332">
        <f t="shared" si="41"/>
        <v>0</v>
      </c>
      <c r="J376" s="435">
        <v>3</v>
      </c>
    </row>
    <row r="377" spans="2:10">
      <c r="B377" s="442">
        <v>41640</v>
      </c>
      <c r="C377" s="443">
        <v>0</v>
      </c>
      <c r="D377" s="443">
        <v>0</v>
      </c>
      <c r="E377" s="443">
        <v>0</v>
      </c>
      <c r="F377" s="444">
        <v>3</v>
      </c>
      <c r="G377" s="443">
        <v>0</v>
      </c>
      <c r="H377" s="445">
        <v>0</v>
      </c>
      <c r="I377" s="332">
        <f t="shared" si="41"/>
        <v>0</v>
      </c>
      <c r="J377" s="446">
        <v>3</v>
      </c>
    </row>
    <row r="378" spans="2:10">
      <c r="B378" s="343">
        <v>41671</v>
      </c>
      <c r="C378">
        <v>0</v>
      </c>
      <c r="D378">
        <v>0</v>
      </c>
      <c r="E378">
        <v>0</v>
      </c>
      <c r="F378" s="430">
        <v>4</v>
      </c>
      <c r="G378">
        <v>0</v>
      </c>
      <c r="H378" s="431">
        <v>0</v>
      </c>
      <c r="I378" s="332">
        <f t="shared" si="41"/>
        <v>1</v>
      </c>
      <c r="J378" s="332">
        <v>5</v>
      </c>
    </row>
    <row r="379" spans="2:10">
      <c r="B379" s="432">
        <v>41699</v>
      </c>
      <c r="C379" s="310">
        <v>0</v>
      </c>
      <c r="D379" s="310">
        <v>0</v>
      </c>
      <c r="E379" s="310">
        <v>0</v>
      </c>
      <c r="F379" s="433">
        <v>2</v>
      </c>
      <c r="G379" s="310">
        <v>0</v>
      </c>
      <c r="H379" s="434">
        <v>0</v>
      </c>
      <c r="I379" s="332">
        <f t="shared" si="41"/>
        <v>1</v>
      </c>
      <c r="J379" s="435">
        <v>3</v>
      </c>
    </row>
    <row r="380" spans="2:10">
      <c r="B380" s="442">
        <v>41730</v>
      </c>
      <c r="C380" s="443">
        <v>0</v>
      </c>
      <c r="D380" s="443">
        <v>0</v>
      </c>
      <c r="E380" s="443">
        <v>0</v>
      </c>
      <c r="F380" s="444">
        <v>5</v>
      </c>
      <c r="G380" s="443">
        <v>0</v>
      </c>
      <c r="H380" s="445">
        <v>0</v>
      </c>
      <c r="I380" s="332">
        <f t="shared" si="41"/>
        <v>0</v>
      </c>
      <c r="J380" s="446">
        <v>5</v>
      </c>
    </row>
    <row r="381" spans="2:10">
      <c r="B381" s="343">
        <v>41760</v>
      </c>
      <c r="C381">
        <v>0</v>
      </c>
      <c r="D381">
        <v>0</v>
      </c>
      <c r="E381">
        <v>0</v>
      </c>
      <c r="F381" s="430">
        <v>5</v>
      </c>
      <c r="G381">
        <v>0</v>
      </c>
      <c r="H381" s="431">
        <v>0</v>
      </c>
      <c r="I381" s="332">
        <f t="shared" si="41"/>
        <v>0</v>
      </c>
      <c r="J381" s="332">
        <v>5</v>
      </c>
    </row>
    <row r="382" spans="2:10">
      <c r="B382" s="432">
        <v>41791</v>
      </c>
      <c r="C382" s="310">
        <v>0</v>
      </c>
      <c r="D382" s="310">
        <v>0</v>
      </c>
      <c r="E382" s="310">
        <v>0</v>
      </c>
      <c r="F382" s="433">
        <v>5</v>
      </c>
      <c r="G382" s="310">
        <v>0</v>
      </c>
      <c r="H382" s="434">
        <v>0</v>
      </c>
      <c r="I382" s="332">
        <f t="shared" si="41"/>
        <v>0</v>
      </c>
      <c r="J382" s="435">
        <v>5</v>
      </c>
    </row>
    <row r="383" spans="2:10">
      <c r="B383" s="343">
        <v>41821</v>
      </c>
      <c r="C383">
        <v>0</v>
      </c>
      <c r="D383">
        <v>0</v>
      </c>
      <c r="E383">
        <v>0</v>
      </c>
      <c r="F383" s="430">
        <v>9</v>
      </c>
      <c r="G383">
        <v>0</v>
      </c>
      <c r="H383" s="431">
        <v>0</v>
      </c>
      <c r="I383" s="332">
        <f t="shared" si="41"/>
        <v>0</v>
      </c>
      <c r="J383" s="332">
        <v>9</v>
      </c>
    </row>
    <row r="384" spans="2:10">
      <c r="B384" s="343">
        <v>41852</v>
      </c>
      <c r="C384">
        <v>0</v>
      </c>
      <c r="D384">
        <v>0</v>
      </c>
      <c r="E384">
        <v>0</v>
      </c>
      <c r="F384" s="430">
        <v>4</v>
      </c>
      <c r="G384">
        <v>0</v>
      </c>
      <c r="H384" s="431">
        <v>0</v>
      </c>
      <c r="I384" s="332">
        <f t="shared" si="41"/>
        <v>2</v>
      </c>
      <c r="J384" s="332">
        <v>6</v>
      </c>
    </row>
    <row r="385" spans="2:10">
      <c r="B385" s="432">
        <v>41883</v>
      </c>
      <c r="C385" s="310">
        <v>0</v>
      </c>
      <c r="D385" s="310">
        <v>0</v>
      </c>
      <c r="E385" s="310">
        <v>0</v>
      </c>
      <c r="F385" s="433">
        <v>8</v>
      </c>
      <c r="G385" s="310">
        <v>0</v>
      </c>
      <c r="H385" s="434">
        <v>0</v>
      </c>
      <c r="I385" s="332">
        <f t="shared" si="41"/>
        <v>0</v>
      </c>
      <c r="J385" s="435">
        <v>8</v>
      </c>
    </row>
    <row r="386" spans="2:10">
      <c r="B386" s="436">
        <v>41913</v>
      </c>
      <c r="C386" s="437">
        <v>0</v>
      </c>
      <c r="D386" s="437">
        <v>0</v>
      </c>
      <c r="E386" s="437">
        <v>0</v>
      </c>
      <c r="F386" s="430">
        <v>5</v>
      </c>
      <c r="G386" s="437">
        <v>0</v>
      </c>
      <c r="H386" s="431">
        <v>0</v>
      </c>
      <c r="I386" s="332">
        <f t="shared" si="41"/>
        <v>1</v>
      </c>
      <c r="J386" s="438">
        <v>6</v>
      </c>
    </row>
    <row r="387" spans="2:10">
      <c r="B387" s="436">
        <v>41944</v>
      </c>
      <c r="C387" s="437">
        <v>0</v>
      </c>
      <c r="D387" s="437">
        <v>0</v>
      </c>
      <c r="E387" s="437">
        <v>0</v>
      </c>
      <c r="F387" s="430">
        <v>2</v>
      </c>
      <c r="G387" s="437">
        <v>0</v>
      </c>
      <c r="H387" s="431">
        <v>0</v>
      </c>
      <c r="I387" s="332">
        <f t="shared" si="41"/>
        <v>0</v>
      </c>
      <c r="J387" s="438">
        <v>2</v>
      </c>
    </row>
    <row r="388" spans="2:10">
      <c r="B388" s="439">
        <v>41974</v>
      </c>
      <c r="C388" s="440">
        <v>0</v>
      </c>
      <c r="D388" s="440">
        <v>1</v>
      </c>
      <c r="E388" s="440">
        <v>0</v>
      </c>
      <c r="F388" s="433">
        <v>4</v>
      </c>
      <c r="G388" s="440">
        <v>0</v>
      </c>
      <c r="H388" s="434">
        <v>0</v>
      </c>
      <c r="I388" s="332">
        <f t="shared" si="41"/>
        <v>1</v>
      </c>
      <c r="J388" s="441">
        <v>6</v>
      </c>
    </row>
    <row r="389" spans="2:10">
      <c r="B389" s="436">
        <v>42005</v>
      </c>
      <c r="C389" s="437">
        <v>0</v>
      </c>
      <c r="D389" s="437">
        <v>0</v>
      </c>
      <c r="E389" s="437">
        <v>0</v>
      </c>
      <c r="F389" s="430">
        <v>6</v>
      </c>
      <c r="G389" s="437">
        <v>0</v>
      </c>
      <c r="H389" s="431">
        <v>0</v>
      </c>
      <c r="I389" s="332">
        <f t="shared" si="41"/>
        <v>1</v>
      </c>
      <c r="J389" s="438">
        <v>7</v>
      </c>
    </row>
    <row r="390" spans="2:10">
      <c r="B390" s="436">
        <v>42036</v>
      </c>
      <c r="C390" s="437">
        <v>0</v>
      </c>
      <c r="D390" s="437">
        <v>0</v>
      </c>
      <c r="E390" s="437">
        <v>0</v>
      </c>
      <c r="F390" s="430">
        <v>4</v>
      </c>
      <c r="G390" s="437">
        <v>0</v>
      </c>
      <c r="H390" s="431">
        <v>0</v>
      </c>
      <c r="I390" s="332">
        <f t="shared" si="41"/>
        <v>7</v>
      </c>
      <c r="J390" s="438">
        <v>11</v>
      </c>
    </row>
    <row r="391" spans="2:10">
      <c r="B391" s="439">
        <v>42064</v>
      </c>
      <c r="C391" s="440">
        <v>0</v>
      </c>
      <c r="D391" s="440">
        <v>0</v>
      </c>
      <c r="E391" s="440">
        <v>0</v>
      </c>
      <c r="F391" s="433">
        <v>6</v>
      </c>
      <c r="G391" s="440">
        <v>0</v>
      </c>
      <c r="H391" s="434">
        <v>0</v>
      </c>
      <c r="I391" s="332">
        <f t="shared" si="41"/>
        <v>3</v>
      </c>
      <c r="J391" s="441">
        <v>9</v>
      </c>
    </row>
    <row r="392" spans="2:10">
      <c r="B392" s="436">
        <v>42095</v>
      </c>
      <c r="C392" s="437">
        <v>0</v>
      </c>
      <c r="D392" s="437">
        <v>0</v>
      </c>
      <c r="E392" s="437">
        <v>0</v>
      </c>
      <c r="F392" s="430">
        <v>7</v>
      </c>
      <c r="G392" s="437">
        <v>0</v>
      </c>
      <c r="H392" s="431">
        <v>0</v>
      </c>
      <c r="I392" s="332">
        <f t="shared" si="41"/>
        <v>2</v>
      </c>
      <c r="J392" s="438">
        <v>9</v>
      </c>
    </row>
    <row r="393" spans="2:10">
      <c r="B393" s="436">
        <v>42125</v>
      </c>
      <c r="C393" s="437">
        <v>0</v>
      </c>
      <c r="D393" s="437">
        <v>0</v>
      </c>
      <c r="E393" s="437">
        <v>0</v>
      </c>
      <c r="F393" s="430">
        <v>4</v>
      </c>
      <c r="G393" s="437">
        <v>0</v>
      </c>
      <c r="H393" s="431">
        <v>0</v>
      </c>
      <c r="I393" s="332">
        <f t="shared" si="41"/>
        <v>2</v>
      </c>
      <c r="J393" s="438">
        <v>6</v>
      </c>
    </row>
    <row r="394" spans="2:10">
      <c r="B394" s="439">
        <v>42156</v>
      </c>
      <c r="C394" s="440">
        <v>0</v>
      </c>
      <c r="D394" s="440">
        <v>0</v>
      </c>
      <c r="E394" s="440">
        <v>0</v>
      </c>
      <c r="F394" s="433">
        <v>9</v>
      </c>
      <c r="G394" s="440">
        <v>0</v>
      </c>
      <c r="H394" s="434">
        <v>0</v>
      </c>
      <c r="I394" s="332">
        <f t="shared" si="41"/>
        <v>2</v>
      </c>
      <c r="J394" s="441">
        <v>11</v>
      </c>
    </row>
    <row r="395" spans="2:10">
      <c r="B395" s="436">
        <v>42186</v>
      </c>
      <c r="C395" s="437">
        <v>0</v>
      </c>
      <c r="D395" s="437">
        <v>0</v>
      </c>
      <c r="E395" s="437">
        <v>0</v>
      </c>
      <c r="F395" s="430">
        <v>15</v>
      </c>
      <c r="G395" s="437">
        <v>0</v>
      </c>
      <c r="H395" s="431">
        <v>0</v>
      </c>
      <c r="I395" s="332">
        <f t="shared" si="41"/>
        <v>2</v>
      </c>
      <c r="J395" s="438">
        <v>17</v>
      </c>
    </row>
    <row r="396" spans="2:10">
      <c r="B396" s="436">
        <v>42217</v>
      </c>
      <c r="C396" s="437">
        <v>0</v>
      </c>
      <c r="D396" s="437">
        <v>0</v>
      </c>
      <c r="E396" s="437">
        <v>0</v>
      </c>
      <c r="F396" s="430">
        <v>24</v>
      </c>
      <c r="G396" s="437">
        <v>0</v>
      </c>
      <c r="H396" s="431">
        <v>0</v>
      </c>
      <c r="I396" s="332">
        <f t="shared" si="41"/>
        <v>1</v>
      </c>
      <c r="J396" s="438">
        <v>25</v>
      </c>
    </row>
    <row r="397" spans="2:10">
      <c r="B397" s="439">
        <v>42248</v>
      </c>
      <c r="C397" s="440">
        <v>0</v>
      </c>
      <c r="D397" s="440">
        <v>2</v>
      </c>
      <c r="E397" s="440">
        <v>0</v>
      </c>
      <c r="F397" s="433">
        <v>137</v>
      </c>
      <c r="G397" s="440">
        <v>0</v>
      </c>
      <c r="H397" s="434">
        <v>0</v>
      </c>
      <c r="I397" s="332">
        <f t="shared" si="41"/>
        <v>28</v>
      </c>
      <c r="J397" s="441">
        <v>167</v>
      </c>
    </row>
    <row r="398" spans="2:10">
      <c r="B398" s="343">
        <v>42278</v>
      </c>
      <c r="C398">
        <v>0</v>
      </c>
      <c r="D398">
        <v>2</v>
      </c>
      <c r="E398">
        <v>0</v>
      </c>
      <c r="F398" s="430">
        <v>32</v>
      </c>
      <c r="G398">
        <v>0</v>
      </c>
      <c r="H398" s="431">
        <v>1</v>
      </c>
      <c r="I398" s="332">
        <f t="shared" si="41"/>
        <v>7</v>
      </c>
      <c r="J398" s="332">
        <v>42</v>
      </c>
    </row>
    <row r="399" spans="2:10">
      <c r="B399" s="343">
        <v>42309</v>
      </c>
      <c r="C399">
        <v>0</v>
      </c>
      <c r="D399">
        <v>0</v>
      </c>
      <c r="E399">
        <v>0</v>
      </c>
      <c r="F399" s="430">
        <v>30</v>
      </c>
      <c r="G399">
        <v>0</v>
      </c>
      <c r="H399" s="431">
        <v>1</v>
      </c>
      <c r="I399" s="332">
        <f t="shared" si="41"/>
        <v>1</v>
      </c>
      <c r="J399" s="332">
        <v>32</v>
      </c>
    </row>
    <row r="400" spans="2:10">
      <c r="B400" s="432">
        <v>42339</v>
      </c>
      <c r="C400" s="310">
        <v>4</v>
      </c>
      <c r="D400" s="310">
        <v>5</v>
      </c>
      <c r="E400" s="310">
        <v>0</v>
      </c>
      <c r="F400" s="433">
        <v>147</v>
      </c>
      <c r="G400" s="310">
        <v>1</v>
      </c>
      <c r="H400" s="434">
        <v>1</v>
      </c>
      <c r="I400" s="332">
        <f t="shared" si="41"/>
        <v>13</v>
      </c>
      <c r="J400" s="435">
        <v>171</v>
      </c>
    </row>
    <row r="401" spans="2:10">
      <c r="B401" s="343">
        <v>42370</v>
      </c>
      <c r="C401">
        <v>0</v>
      </c>
      <c r="D401">
        <v>0</v>
      </c>
      <c r="E401">
        <v>0</v>
      </c>
      <c r="F401" s="430">
        <v>1</v>
      </c>
      <c r="G401">
        <v>0</v>
      </c>
      <c r="H401" s="431">
        <v>0</v>
      </c>
      <c r="I401" s="332">
        <f t="shared" si="41"/>
        <v>0</v>
      </c>
      <c r="J401" s="332">
        <v>1</v>
      </c>
    </row>
    <row r="402" spans="2:10">
      <c r="B402" s="343">
        <v>42401</v>
      </c>
      <c r="C402">
        <v>0</v>
      </c>
      <c r="D402">
        <v>0</v>
      </c>
      <c r="E402">
        <v>0</v>
      </c>
      <c r="F402" s="430">
        <v>6</v>
      </c>
      <c r="G402">
        <v>0</v>
      </c>
      <c r="H402" s="431">
        <v>0</v>
      </c>
      <c r="I402" s="332">
        <f t="shared" si="41"/>
        <v>2</v>
      </c>
      <c r="J402" s="332">
        <v>8</v>
      </c>
    </row>
    <row r="403" spans="2:10">
      <c r="B403" s="432">
        <v>42430</v>
      </c>
      <c r="C403" s="310">
        <v>0</v>
      </c>
      <c r="D403" s="310">
        <v>0</v>
      </c>
      <c r="E403" s="310">
        <v>0</v>
      </c>
      <c r="F403" s="433">
        <v>15</v>
      </c>
      <c r="G403" s="310">
        <v>0</v>
      </c>
      <c r="H403" s="434">
        <v>0</v>
      </c>
      <c r="I403" s="332">
        <f t="shared" si="41"/>
        <v>0</v>
      </c>
      <c r="J403" s="435">
        <v>15</v>
      </c>
    </row>
    <row r="404" spans="2:10">
      <c r="B404" s="343">
        <v>42461</v>
      </c>
      <c r="C404">
        <v>0</v>
      </c>
      <c r="D404">
        <v>0</v>
      </c>
      <c r="E404">
        <v>0</v>
      </c>
      <c r="F404" s="430">
        <v>23</v>
      </c>
      <c r="G404">
        <v>1</v>
      </c>
      <c r="H404" s="431">
        <v>0</v>
      </c>
      <c r="I404" s="332">
        <f t="shared" si="41"/>
        <v>5</v>
      </c>
      <c r="J404" s="332">
        <v>29</v>
      </c>
    </row>
    <row r="405" spans="2:10">
      <c r="B405" s="343">
        <v>42491</v>
      </c>
      <c r="C405">
        <v>2</v>
      </c>
      <c r="D405">
        <v>0</v>
      </c>
      <c r="E405">
        <v>0</v>
      </c>
      <c r="F405" s="430">
        <v>35</v>
      </c>
      <c r="G405">
        <v>0</v>
      </c>
      <c r="H405" s="431">
        <v>0</v>
      </c>
      <c r="I405" s="332">
        <f t="shared" si="41"/>
        <v>2</v>
      </c>
      <c r="J405" s="332">
        <v>39</v>
      </c>
    </row>
    <row r="406" spans="2:10">
      <c r="B406" s="432">
        <v>42522</v>
      </c>
      <c r="C406" s="310">
        <v>1</v>
      </c>
      <c r="D406" s="310">
        <v>0</v>
      </c>
      <c r="E406" s="310">
        <v>0</v>
      </c>
      <c r="F406" s="433">
        <v>52</v>
      </c>
      <c r="G406" s="310">
        <v>2</v>
      </c>
      <c r="H406" s="434">
        <v>2</v>
      </c>
      <c r="I406" s="332">
        <f t="shared" si="41"/>
        <v>2</v>
      </c>
      <c r="J406" s="435">
        <v>59</v>
      </c>
    </row>
    <row r="407" spans="2:10">
      <c r="B407" s="343">
        <v>42552</v>
      </c>
      <c r="C407">
        <v>3</v>
      </c>
      <c r="D407">
        <v>0</v>
      </c>
      <c r="E407">
        <v>0</v>
      </c>
      <c r="F407" s="430">
        <v>78</v>
      </c>
      <c r="G407">
        <v>2</v>
      </c>
      <c r="H407" s="431">
        <v>2</v>
      </c>
      <c r="I407" s="332">
        <f t="shared" si="41"/>
        <v>2</v>
      </c>
      <c r="J407" s="332">
        <v>87</v>
      </c>
    </row>
    <row r="408" spans="2:10">
      <c r="B408" s="343">
        <v>42583</v>
      </c>
      <c r="C408">
        <v>3</v>
      </c>
      <c r="D408">
        <v>0</v>
      </c>
      <c r="E408">
        <v>0</v>
      </c>
      <c r="F408" s="430">
        <v>84</v>
      </c>
      <c r="G408">
        <v>1</v>
      </c>
      <c r="H408" s="431">
        <v>1</v>
      </c>
      <c r="I408" s="332">
        <f t="shared" si="41"/>
        <v>2</v>
      </c>
      <c r="J408" s="332">
        <v>91</v>
      </c>
    </row>
    <row r="409" spans="2:10">
      <c r="B409" s="432">
        <v>42614</v>
      </c>
      <c r="C409" s="310">
        <v>34</v>
      </c>
      <c r="D409" s="310">
        <v>4</v>
      </c>
      <c r="E409" s="310">
        <v>0</v>
      </c>
      <c r="F409" s="433">
        <v>372</v>
      </c>
      <c r="G409" s="310">
        <v>2</v>
      </c>
      <c r="H409" s="434">
        <v>6</v>
      </c>
      <c r="I409" s="332">
        <f t="shared" si="41"/>
        <v>24</v>
      </c>
      <c r="J409" s="435">
        <v>442</v>
      </c>
    </row>
    <row r="410" spans="2:10">
      <c r="B410" s="447">
        <v>42644</v>
      </c>
      <c r="C410" s="448">
        <v>0</v>
      </c>
      <c r="D410" s="448">
        <v>1</v>
      </c>
      <c r="E410" s="448">
        <v>0</v>
      </c>
      <c r="F410" s="444">
        <v>69</v>
      </c>
      <c r="G410" s="448">
        <v>2</v>
      </c>
      <c r="H410" s="445">
        <v>6</v>
      </c>
      <c r="I410" s="332">
        <f t="shared" si="41"/>
        <v>18</v>
      </c>
      <c r="J410" s="449">
        <v>96</v>
      </c>
    </row>
    <row r="411" spans="2:10">
      <c r="B411" s="436">
        <v>42675</v>
      </c>
      <c r="C411" s="437">
        <v>10</v>
      </c>
      <c r="D411" s="437">
        <v>0</v>
      </c>
      <c r="E411" s="437">
        <v>0</v>
      </c>
      <c r="F411" s="430">
        <v>105</v>
      </c>
      <c r="G411" s="437">
        <v>1</v>
      </c>
      <c r="H411" s="431">
        <v>0</v>
      </c>
      <c r="I411" s="332">
        <f t="shared" si="41"/>
        <v>11</v>
      </c>
      <c r="J411" s="438">
        <v>127</v>
      </c>
    </row>
    <row r="412" spans="2:10">
      <c r="B412" s="439">
        <v>42705</v>
      </c>
      <c r="C412" s="440">
        <v>23</v>
      </c>
      <c r="D412" s="440">
        <v>2</v>
      </c>
      <c r="E412" s="440">
        <v>1</v>
      </c>
      <c r="F412" s="433">
        <v>295</v>
      </c>
      <c r="G412" s="440">
        <v>7</v>
      </c>
      <c r="H412" s="434">
        <v>17</v>
      </c>
      <c r="I412" s="332">
        <f t="shared" si="41"/>
        <v>27</v>
      </c>
      <c r="J412" s="441">
        <v>372</v>
      </c>
    </row>
    <row r="413" spans="2:10">
      <c r="B413" s="436">
        <v>42736</v>
      </c>
      <c r="C413" s="437">
        <v>3</v>
      </c>
      <c r="D413" s="437">
        <v>0</v>
      </c>
      <c r="E413" s="437">
        <v>0</v>
      </c>
      <c r="F413" s="430">
        <v>49</v>
      </c>
      <c r="G413" s="437">
        <v>2</v>
      </c>
      <c r="H413" s="431">
        <v>3</v>
      </c>
      <c r="I413" s="332">
        <f t="shared" si="41"/>
        <v>8</v>
      </c>
      <c r="J413" s="438">
        <v>65</v>
      </c>
    </row>
    <row r="414" spans="2:10">
      <c r="B414" s="436">
        <v>42767</v>
      </c>
      <c r="C414" s="437">
        <v>8</v>
      </c>
      <c r="D414" s="437">
        <v>0</v>
      </c>
      <c r="E414" s="437">
        <v>1</v>
      </c>
      <c r="F414" s="430">
        <v>66</v>
      </c>
      <c r="G414" s="437">
        <v>4</v>
      </c>
      <c r="H414" s="431">
        <v>2</v>
      </c>
      <c r="I414" s="332">
        <f t="shared" si="41"/>
        <v>4</v>
      </c>
      <c r="J414" s="438">
        <v>85</v>
      </c>
    </row>
    <row r="415" spans="2:10">
      <c r="B415" s="439">
        <v>42795</v>
      </c>
      <c r="C415" s="440">
        <v>8</v>
      </c>
      <c r="D415" s="440">
        <v>0</v>
      </c>
      <c r="E415" s="440">
        <v>0</v>
      </c>
      <c r="F415" s="433">
        <v>128</v>
      </c>
      <c r="G415" s="440">
        <v>5</v>
      </c>
      <c r="H415" s="434">
        <v>4</v>
      </c>
      <c r="I415" s="332">
        <f t="shared" si="41"/>
        <v>11</v>
      </c>
      <c r="J415" s="441">
        <v>156</v>
      </c>
    </row>
    <row r="416" spans="2:10">
      <c r="B416" s="436">
        <v>42826</v>
      </c>
      <c r="C416" s="437">
        <v>42</v>
      </c>
      <c r="D416" s="437">
        <v>6</v>
      </c>
      <c r="E416" s="437">
        <v>3</v>
      </c>
      <c r="F416" s="430">
        <v>612</v>
      </c>
      <c r="G416" s="437">
        <v>13</v>
      </c>
      <c r="H416" s="431">
        <v>34</v>
      </c>
      <c r="I416" s="332">
        <f t="shared" si="41"/>
        <v>59</v>
      </c>
      <c r="J416" s="438">
        <v>769</v>
      </c>
    </row>
    <row r="417" spans="2:10">
      <c r="B417" s="436">
        <v>42856</v>
      </c>
      <c r="C417" s="437">
        <v>9</v>
      </c>
      <c r="D417" s="437">
        <v>2</v>
      </c>
      <c r="E417" s="437">
        <v>0</v>
      </c>
      <c r="F417" s="430">
        <v>95</v>
      </c>
      <c r="G417" s="437">
        <v>1</v>
      </c>
      <c r="H417" s="431">
        <v>6</v>
      </c>
      <c r="I417" s="332">
        <f t="shared" si="41"/>
        <v>25</v>
      </c>
      <c r="J417" s="438">
        <v>138</v>
      </c>
    </row>
    <row r="418" spans="2:10">
      <c r="B418" s="439">
        <v>42887</v>
      </c>
      <c r="C418" s="440">
        <v>2</v>
      </c>
      <c r="D418" s="440">
        <v>0</v>
      </c>
      <c r="E418" s="440">
        <v>1</v>
      </c>
      <c r="F418" s="433">
        <v>42</v>
      </c>
      <c r="G418" s="440">
        <v>1</v>
      </c>
      <c r="H418" s="434">
        <v>3</v>
      </c>
      <c r="I418" s="332">
        <f t="shared" ref="I418:I459" si="42">J418-SUM(C418:H418)</f>
        <v>13</v>
      </c>
      <c r="J418" s="441">
        <v>62</v>
      </c>
    </row>
    <row r="419" spans="2:10">
      <c r="B419" s="436">
        <v>42917</v>
      </c>
      <c r="C419" s="437">
        <v>2</v>
      </c>
      <c r="D419" s="437">
        <v>2</v>
      </c>
      <c r="E419" s="437">
        <v>0</v>
      </c>
      <c r="F419" s="430">
        <v>66</v>
      </c>
      <c r="G419" s="437">
        <v>0</v>
      </c>
      <c r="H419" s="431">
        <v>2</v>
      </c>
      <c r="I419" s="332">
        <f t="shared" si="42"/>
        <v>5</v>
      </c>
      <c r="J419" s="438">
        <v>77</v>
      </c>
    </row>
    <row r="420" spans="2:10">
      <c r="B420" s="436">
        <v>42948</v>
      </c>
      <c r="C420" s="437">
        <v>8</v>
      </c>
      <c r="D420" s="437">
        <v>0</v>
      </c>
      <c r="E420" s="437">
        <v>1</v>
      </c>
      <c r="F420" s="430">
        <v>112</v>
      </c>
      <c r="G420" s="437">
        <v>1</v>
      </c>
      <c r="H420" s="431">
        <v>2</v>
      </c>
      <c r="I420" s="332">
        <f t="shared" si="42"/>
        <v>10</v>
      </c>
      <c r="J420" s="438">
        <v>134</v>
      </c>
    </row>
    <row r="421" spans="2:10">
      <c r="B421" s="439">
        <v>42979</v>
      </c>
      <c r="C421" s="440">
        <v>23</v>
      </c>
      <c r="D421" s="440">
        <v>4</v>
      </c>
      <c r="E421" s="440">
        <v>1</v>
      </c>
      <c r="F421" s="433">
        <v>159</v>
      </c>
      <c r="G421" s="440">
        <v>4</v>
      </c>
      <c r="H421" s="434">
        <v>16</v>
      </c>
      <c r="I421" s="332">
        <f t="shared" si="42"/>
        <v>17</v>
      </c>
      <c r="J421" s="441">
        <v>224</v>
      </c>
    </row>
    <row r="422" spans="2:10">
      <c r="B422" s="343">
        <v>43009</v>
      </c>
      <c r="C422">
        <v>16</v>
      </c>
      <c r="D422">
        <v>4</v>
      </c>
      <c r="E422">
        <v>1</v>
      </c>
      <c r="F422" s="430">
        <v>123</v>
      </c>
      <c r="G422">
        <v>2</v>
      </c>
      <c r="H422" s="431">
        <v>6</v>
      </c>
      <c r="I422" s="332">
        <f t="shared" si="42"/>
        <v>27</v>
      </c>
      <c r="J422" s="332">
        <v>179</v>
      </c>
    </row>
    <row r="423" spans="2:10">
      <c r="B423" s="343">
        <v>43040</v>
      </c>
      <c r="C423">
        <v>14</v>
      </c>
      <c r="D423">
        <v>2</v>
      </c>
      <c r="E423">
        <v>1</v>
      </c>
      <c r="F423" s="430">
        <v>93</v>
      </c>
      <c r="G423">
        <v>2</v>
      </c>
      <c r="H423" s="431">
        <v>9</v>
      </c>
      <c r="I423" s="332">
        <f t="shared" si="42"/>
        <v>24</v>
      </c>
      <c r="J423" s="332">
        <v>145</v>
      </c>
    </row>
    <row r="424" spans="2:10">
      <c r="B424" s="432">
        <v>43070</v>
      </c>
      <c r="C424" s="310">
        <v>68</v>
      </c>
      <c r="D424" s="310">
        <v>3</v>
      </c>
      <c r="E424" s="310">
        <v>11</v>
      </c>
      <c r="F424" s="433">
        <v>219</v>
      </c>
      <c r="G424" s="310">
        <v>15</v>
      </c>
      <c r="H424" s="434">
        <v>67</v>
      </c>
      <c r="I424" s="332">
        <f t="shared" si="42"/>
        <v>61</v>
      </c>
      <c r="J424" s="435">
        <v>444</v>
      </c>
    </row>
    <row r="425" spans="2:10">
      <c r="B425" s="343">
        <v>43101</v>
      </c>
      <c r="C425">
        <v>19</v>
      </c>
      <c r="D425">
        <v>1</v>
      </c>
      <c r="E425">
        <v>3</v>
      </c>
      <c r="F425" s="430">
        <v>147</v>
      </c>
      <c r="G425">
        <v>8</v>
      </c>
      <c r="H425" s="431">
        <v>17</v>
      </c>
      <c r="I425" s="332">
        <f t="shared" si="42"/>
        <v>21</v>
      </c>
      <c r="J425" s="332">
        <v>216</v>
      </c>
    </row>
    <row r="426" spans="2:10">
      <c r="B426" s="343">
        <v>43132</v>
      </c>
      <c r="C426">
        <v>16</v>
      </c>
      <c r="D426">
        <v>3</v>
      </c>
      <c r="E426">
        <v>6</v>
      </c>
      <c r="F426" s="430">
        <v>152</v>
      </c>
      <c r="G426">
        <v>5</v>
      </c>
      <c r="H426" s="431">
        <v>11</v>
      </c>
      <c r="I426" s="332">
        <f t="shared" si="42"/>
        <v>13</v>
      </c>
      <c r="J426" s="332">
        <v>206</v>
      </c>
    </row>
    <row r="427" spans="2:10">
      <c r="B427" s="432">
        <v>43160</v>
      </c>
      <c r="C427" s="310">
        <v>38</v>
      </c>
      <c r="D427" s="310">
        <v>5</v>
      </c>
      <c r="E427" s="310">
        <v>7</v>
      </c>
      <c r="F427" s="433">
        <v>136</v>
      </c>
      <c r="G427" s="310">
        <v>5</v>
      </c>
      <c r="H427" s="434">
        <v>43</v>
      </c>
      <c r="I427" s="332">
        <f t="shared" si="42"/>
        <v>44</v>
      </c>
      <c r="J427" s="435">
        <v>278</v>
      </c>
    </row>
    <row r="428" spans="2:10">
      <c r="B428" s="343">
        <v>43191</v>
      </c>
      <c r="C428">
        <v>11</v>
      </c>
      <c r="D428">
        <v>2</v>
      </c>
      <c r="E428">
        <v>2</v>
      </c>
      <c r="F428" s="430">
        <v>58</v>
      </c>
      <c r="G428">
        <v>7</v>
      </c>
      <c r="H428" s="431">
        <v>10</v>
      </c>
      <c r="I428" s="332">
        <f t="shared" si="42"/>
        <v>15</v>
      </c>
      <c r="J428" s="332">
        <v>105</v>
      </c>
    </row>
    <row r="429" spans="2:10">
      <c r="B429" s="343">
        <v>43221</v>
      </c>
      <c r="C429">
        <v>13</v>
      </c>
      <c r="D429">
        <v>1</v>
      </c>
      <c r="E429">
        <v>14</v>
      </c>
      <c r="F429" s="430">
        <v>63</v>
      </c>
      <c r="G429">
        <v>5</v>
      </c>
      <c r="H429" s="431">
        <v>14</v>
      </c>
      <c r="I429" s="332">
        <f t="shared" si="42"/>
        <v>15</v>
      </c>
      <c r="J429" s="332">
        <v>125</v>
      </c>
    </row>
    <row r="430" spans="2:10">
      <c r="B430" s="432">
        <v>43252</v>
      </c>
      <c r="C430" s="310">
        <v>20</v>
      </c>
      <c r="D430" s="310">
        <v>2</v>
      </c>
      <c r="E430" s="310">
        <v>3</v>
      </c>
      <c r="F430" s="433">
        <v>59</v>
      </c>
      <c r="G430" s="310">
        <v>5</v>
      </c>
      <c r="H430" s="434">
        <v>20</v>
      </c>
      <c r="I430" s="332">
        <f t="shared" si="42"/>
        <v>15</v>
      </c>
      <c r="J430" s="435">
        <v>124</v>
      </c>
    </row>
    <row r="431" spans="2:10">
      <c r="B431" s="343">
        <v>43282</v>
      </c>
      <c r="C431">
        <v>17</v>
      </c>
      <c r="D431">
        <v>2</v>
      </c>
      <c r="E431">
        <v>7</v>
      </c>
      <c r="F431" s="430">
        <v>80</v>
      </c>
      <c r="G431">
        <v>6</v>
      </c>
      <c r="H431" s="431">
        <v>15</v>
      </c>
      <c r="I431" s="332">
        <f t="shared" si="42"/>
        <v>15</v>
      </c>
      <c r="J431" s="332">
        <v>142</v>
      </c>
    </row>
    <row r="432" spans="2:10">
      <c r="B432" s="343">
        <v>43313</v>
      </c>
      <c r="C432">
        <v>28</v>
      </c>
      <c r="D432">
        <v>7</v>
      </c>
      <c r="E432">
        <v>8</v>
      </c>
      <c r="F432" s="430">
        <v>101</v>
      </c>
      <c r="G432">
        <v>17</v>
      </c>
      <c r="H432" s="431">
        <v>28</v>
      </c>
      <c r="I432" s="332">
        <f t="shared" si="42"/>
        <v>36</v>
      </c>
      <c r="J432" s="332">
        <v>225</v>
      </c>
    </row>
    <row r="433" spans="2:10">
      <c r="B433" s="432">
        <v>43344</v>
      </c>
      <c r="C433" s="310">
        <v>111</v>
      </c>
      <c r="D433" s="310">
        <v>17</v>
      </c>
      <c r="E433" s="310">
        <v>50</v>
      </c>
      <c r="F433" s="433">
        <v>155</v>
      </c>
      <c r="G433" s="310">
        <v>40</v>
      </c>
      <c r="H433" s="434">
        <v>183</v>
      </c>
      <c r="I433" s="332">
        <f t="shared" si="42"/>
        <v>190</v>
      </c>
      <c r="J433" s="435">
        <v>746</v>
      </c>
    </row>
    <row r="434" spans="2:10">
      <c r="B434" s="436">
        <v>43374</v>
      </c>
      <c r="C434" s="437">
        <v>31</v>
      </c>
      <c r="D434" s="437">
        <v>12</v>
      </c>
      <c r="E434" s="437">
        <v>13</v>
      </c>
      <c r="F434" s="430">
        <v>54</v>
      </c>
      <c r="G434" s="437">
        <v>9</v>
      </c>
      <c r="H434" s="431">
        <v>80</v>
      </c>
      <c r="I434" s="332">
        <f t="shared" si="42"/>
        <v>72</v>
      </c>
      <c r="J434" s="438">
        <v>271</v>
      </c>
    </row>
    <row r="435" spans="2:10">
      <c r="B435" s="436">
        <v>43405</v>
      </c>
      <c r="C435" s="437">
        <v>39</v>
      </c>
      <c r="D435" s="437">
        <v>4</v>
      </c>
      <c r="E435" s="437">
        <v>23</v>
      </c>
      <c r="F435" s="430">
        <v>55</v>
      </c>
      <c r="G435" s="437">
        <v>15</v>
      </c>
      <c r="H435" s="431">
        <v>75</v>
      </c>
      <c r="I435" s="332">
        <f t="shared" si="42"/>
        <v>55</v>
      </c>
      <c r="J435" s="438">
        <v>266</v>
      </c>
    </row>
    <row r="436" spans="2:10">
      <c r="B436" s="439">
        <v>43435</v>
      </c>
      <c r="C436" s="440">
        <v>67</v>
      </c>
      <c r="D436" s="440">
        <v>21</v>
      </c>
      <c r="E436" s="440">
        <v>49</v>
      </c>
      <c r="F436" s="433">
        <v>71</v>
      </c>
      <c r="G436" s="440">
        <v>33</v>
      </c>
      <c r="H436" s="434">
        <v>209</v>
      </c>
      <c r="I436" s="332">
        <f t="shared" si="42"/>
        <v>224</v>
      </c>
      <c r="J436" s="441">
        <v>674</v>
      </c>
    </row>
    <row r="437" spans="2:10">
      <c r="B437" s="436">
        <v>43466</v>
      </c>
      <c r="C437" s="437">
        <v>19</v>
      </c>
      <c r="D437" s="437">
        <v>3</v>
      </c>
      <c r="E437" s="437">
        <v>6</v>
      </c>
      <c r="F437" s="430">
        <v>53</v>
      </c>
      <c r="G437" s="437">
        <v>10</v>
      </c>
      <c r="H437" s="431">
        <v>34</v>
      </c>
      <c r="I437" s="332">
        <f t="shared" si="42"/>
        <v>33</v>
      </c>
      <c r="J437" s="438">
        <v>158</v>
      </c>
    </row>
    <row r="438" spans="2:10">
      <c r="B438" s="436">
        <v>43497</v>
      </c>
      <c r="C438" s="437">
        <v>25</v>
      </c>
      <c r="D438" s="437">
        <v>7</v>
      </c>
      <c r="E438" s="437">
        <v>32</v>
      </c>
      <c r="F438" s="430">
        <v>35</v>
      </c>
      <c r="G438" s="437">
        <v>11</v>
      </c>
      <c r="H438" s="431">
        <v>60</v>
      </c>
      <c r="I438" s="332">
        <f t="shared" si="42"/>
        <v>58</v>
      </c>
      <c r="J438" s="437">
        <v>228</v>
      </c>
    </row>
    <row r="439" spans="2:10">
      <c r="B439" s="439">
        <v>43525</v>
      </c>
      <c r="C439" s="440">
        <v>14</v>
      </c>
      <c r="D439" s="440">
        <v>6</v>
      </c>
      <c r="E439" s="440">
        <v>15</v>
      </c>
      <c r="F439" s="433">
        <v>22</v>
      </c>
      <c r="G439" s="440">
        <v>9</v>
      </c>
      <c r="H439" s="434">
        <v>40</v>
      </c>
      <c r="I439" s="332">
        <f t="shared" si="42"/>
        <v>33</v>
      </c>
      <c r="J439" s="441">
        <v>139</v>
      </c>
    </row>
    <row r="440" spans="2:10">
      <c r="B440" s="436">
        <v>43556</v>
      </c>
      <c r="C440" s="437">
        <v>12</v>
      </c>
      <c r="D440" s="437">
        <v>5</v>
      </c>
      <c r="E440" s="437">
        <v>26</v>
      </c>
      <c r="F440" s="430">
        <v>29</v>
      </c>
      <c r="G440" s="437">
        <v>5</v>
      </c>
      <c r="H440" s="431">
        <v>43</v>
      </c>
      <c r="I440" s="332">
        <f t="shared" si="42"/>
        <v>47</v>
      </c>
      <c r="J440" s="437">
        <v>167</v>
      </c>
    </row>
    <row r="441" spans="2:10">
      <c r="B441" s="436">
        <v>43586</v>
      </c>
      <c r="C441" s="437">
        <v>15</v>
      </c>
      <c r="D441" s="437">
        <v>3</v>
      </c>
      <c r="E441" s="437">
        <v>22</v>
      </c>
      <c r="F441" s="430">
        <v>23</v>
      </c>
      <c r="G441" s="437">
        <v>11</v>
      </c>
      <c r="H441" s="431">
        <v>64</v>
      </c>
      <c r="I441" s="332">
        <f t="shared" si="42"/>
        <v>54</v>
      </c>
      <c r="J441" s="438">
        <v>192</v>
      </c>
    </row>
    <row r="442" spans="2:10">
      <c r="B442" s="439">
        <v>43617</v>
      </c>
      <c r="C442" s="440">
        <v>24</v>
      </c>
      <c r="D442" s="440">
        <v>1</v>
      </c>
      <c r="E442" s="440">
        <v>28</v>
      </c>
      <c r="F442" s="433">
        <v>37</v>
      </c>
      <c r="G442" s="440">
        <v>11</v>
      </c>
      <c r="H442" s="434">
        <v>54</v>
      </c>
      <c r="I442" s="332">
        <f t="shared" si="42"/>
        <v>55</v>
      </c>
      <c r="J442" s="440">
        <v>210</v>
      </c>
    </row>
    <row r="443" spans="2:10">
      <c r="B443" s="436">
        <v>43647</v>
      </c>
      <c r="C443" s="437">
        <v>32</v>
      </c>
      <c r="D443" s="437">
        <v>7</v>
      </c>
      <c r="E443" s="437">
        <v>51</v>
      </c>
      <c r="F443" s="430">
        <v>29</v>
      </c>
      <c r="G443" s="437">
        <v>25</v>
      </c>
      <c r="H443" s="431">
        <v>77</v>
      </c>
      <c r="I443" s="332">
        <f t="shared" si="42"/>
        <v>122</v>
      </c>
      <c r="J443" s="438">
        <v>343</v>
      </c>
    </row>
    <row r="444" spans="2:10">
      <c r="B444" s="436">
        <v>43678</v>
      </c>
      <c r="C444" s="437">
        <v>31</v>
      </c>
      <c r="D444" s="437">
        <v>8</v>
      </c>
      <c r="E444" s="437">
        <v>74</v>
      </c>
      <c r="F444" s="430">
        <v>26</v>
      </c>
      <c r="G444" s="437">
        <v>28</v>
      </c>
      <c r="H444" s="431">
        <v>77</v>
      </c>
      <c r="I444" s="332">
        <f t="shared" si="42"/>
        <v>104</v>
      </c>
      <c r="J444" s="437">
        <v>348</v>
      </c>
    </row>
    <row r="445" spans="2:10">
      <c r="B445" s="439">
        <v>43709</v>
      </c>
      <c r="C445" s="440">
        <v>69</v>
      </c>
      <c r="D445" s="440">
        <v>14</v>
      </c>
      <c r="E445" s="440">
        <v>181</v>
      </c>
      <c r="F445" s="433">
        <v>57</v>
      </c>
      <c r="G445" s="440">
        <v>50</v>
      </c>
      <c r="H445" s="434">
        <v>83</v>
      </c>
      <c r="I445" s="332">
        <f t="shared" si="42"/>
        <v>209</v>
      </c>
      <c r="J445" s="441">
        <v>663</v>
      </c>
    </row>
    <row r="446" spans="2:10">
      <c r="B446" s="343">
        <v>43739</v>
      </c>
      <c r="C446">
        <v>59</v>
      </c>
      <c r="D446">
        <v>22</v>
      </c>
      <c r="E446">
        <v>87</v>
      </c>
      <c r="F446" s="430">
        <v>62</v>
      </c>
      <c r="G446">
        <v>45</v>
      </c>
      <c r="H446" s="431">
        <v>150</v>
      </c>
      <c r="I446" s="332">
        <f t="shared" si="42"/>
        <v>233</v>
      </c>
      <c r="J446">
        <v>658</v>
      </c>
    </row>
    <row r="447" spans="2:10">
      <c r="B447" s="343">
        <v>43770</v>
      </c>
      <c r="C447">
        <v>190</v>
      </c>
      <c r="D447">
        <v>109</v>
      </c>
      <c r="E447">
        <v>306</v>
      </c>
      <c r="F447" s="430">
        <v>350</v>
      </c>
      <c r="G447">
        <v>171</v>
      </c>
      <c r="H447" s="431">
        <v>721</v>
      </c>
      <c r="I447" s="332">
        <f t="shared" si="42"/>
        <v>1305</v>
      </c>
      <c r="J447" s="332">
        <v>3152</v>
      </c>
    </row>
    <row r="448" spans="2:10">
      <c r="B448" s="432">
        <v>43800</v>
      </c>
      <c r="C448" s="310">
        <v>0</v>
      </c>
      <c r="D448" s="310">
        <v>0</v>
      </c>
      <c r="E448" s="435">
        <v>0</v>
      </c>
      <c r="F448" s="433">
        <v>2</v>
      </c>
      <c r="G448" s="310">
        <v>0</v>
      </c>
      <c r="H448" s="434">
        <v>0</v>
      </c>
      <c r="I448" s="332">
        <f t="shared" si="42"/>
        <v>9</v>
      </c>
      <c r="J448" s="310">
        <v>11</v>
      </c>
    </row>
    <row r="449" spans="1:10">
      <c r="B449" s="343">
        <v>43831</v>
      </c>
      <c r="C449">
        <v>0</v>
      </c>
      <c r="D449">
        <v>0</v>
      </c>
      <c r="E449">
        <v>0</v>
      </c>
      <c r="F449" s="430">
        <v>1</v>
      </c>
      <c r="G449">
        <v>0</v>
      </c>
      <c r="H449" s="431">
        <v>5</v>
      </c>
      <c r="I449" s="332">
        <f t="shared" si="42"/>
        <v>2</v>
      </c>
      <c r="J449">
        <v>8</v>
      </c>
    </row>
    <row r="450" spans="1:10">
      <c r="B450" s="343">
        <v>43862</v>
      </c>
      <c r="C450">
        <v>0</v>
      </c>
      <c r="D450">
        <v>0</v>
      </c>
      <c r="E450">
        <v>0</v>
      </c>
      <c r="F450" s="430">
        <v>0</v>
      </c>
      <c r="G450">
        <v>0</v>
      </c>
      <c r="H450" s="431">
        <v>0</v>
      </c>
      <c r="I450" s="332">
        <f t="shared" si="42"/>
        <v>4</v>
      </c>
      <c r="J450">
        <v>4</v>
      </c>
    </row>
    <row r="451" spans="1:10">
      <c r="B451" s="432">
        <v>43891</v>
      </c>
      <c r="C451" s="310">
        <v>0</v>
      </c>
      <c r="D451" s="310">
        <v>0</v>
      </c>
      <c r="E451" s="310">
        <v>1</v>
      </c>
      <c r="F451" s="433">
        <v>2</v>
      </c>
      <c r="G451" s="310">
        <v>0</v>
      </c>
      <c r="H451" s="434">
        <v>1</v>
      </c>
      <c r="I451" s="332">
        <f t="shared" si="42"/>
        <v>4</v>
      </c>
      <c r="J451" s="310">
        <v>8</v>
      </c>
    </row>
    <row r="452" spans="1:10">
      <c r="B452" s="343">
        <v>43922</v>
      </c>
      <c r="C452">
        <v>0</v>
      </c>
      <c r="D452">
        <v>0</v>
      </c>
      <c r="E452">
        <v>1</v>
      </c>
      <c r="F452" s="430">
        <v>1</v>
      </c>
      <c r="G452">
        <v>1</v>
      </c>
      <c r="H452" s="431">
        <v>4</v>
      </c>
      <c r="I452" s="332">
        <f t="shared" si="42"/>
        <v>7</v>
      </c>
      <c r="J452">
        <v>14</v>
      </c>
    </row>
    <row r="453" spans="1:10">
      <c r="B453" s="343">
        <v>43952</v>
      </c>
      <c r="C453">
        <v>0</v>
      </c>
      <c r="D453">
        <v>0</v>
      </c>
      <c r="E453">
        <v>1</v>
      </c>
      <c r="F453" s="430">
        <v>0</v>
      </c>
      <c r="G453">
        <v>3</v>
      </c>
      <c r="H453" s="431">
        <v>3</v>
      </c>
      <c r="I453" s="332">
        <f t="shared" si="42"/>
        <v>7</v>
      </c>
      <c r="J453">
        <v>14</v>
      </c>
    </row>
    <row r="454" spans="1:10">
      <c r="B454" s="432">
        <v>43983</v>
      </c>
      <c r="C454" s="310">
        <v>0</v>
      </c>
      <c r="D454" s="310">
        <v>0</v>
      </c>
      <c r="E454" s="310">
        <v>0</v>
      </c>
      <c r="F454" s="433">
        <v>1</v>
      </c>
      <c r="G454" s="310">
        <v>0</v>
      </c>
      <c r="H454" s="434">
        <v>3</v>
      </c>
      <c r="I454" s="332">
        <f t="shared" si="42"/>
        <v>5</v>
      </c>
      <c r="J454" s="310">
        <v>9</v>
      </c>
    </row>
    <row r="455" spans="1:10">
      <c r="B455" s="343">
        <v>44013</v>
      </c>
      <c r="C455">
        <v>1</v>
      </c>
      <c r="D455">
        <v>0</v>
      </c>
      <c r="E455">
        <v>4</v>
      </c>
      <c r="F455" s="430">
        <v>1</v>
      </c>
      <c r="G455">
        <v>2</v>
      </c>
      <c r="H455" s="431">
        <v>3</v>
      </c>
      <c r="I455" s="332">
        <f t="shared" si="42"/>
        <v>6</v>
      </c>
      <c r="J455">
        <v>17</v>
      </c>
    </row>
    <row r="456" spans="1:10">
      <c r="B456" s="343">
        <v>44044</v>
      </c>
      <c r="C456">
        <v>2</v>
      </c>
      <c r="D456">
        <v>0</v>
      </c>
      <c r="E456">
        <v>1</v>
      </c>
      <c r="F456" s="430">
        <v>4</v>
      </c>
      <c r="G456">
        <v>2</v>
      </c>
      <c r="H456" s="431">
        <v>0</v>
      </c>
      <c r="I456" s="332">
        <f t="shared" si="42"/>
        <v>8</v>
      </c>
      <c r="J456">
        <v>17</v>
      </c>
    </row>
    <row r="457" spans="1:10">
      <c r="B457" s="432">
        <v>44075</v>
      </c>
      <c r="C457" s="310">
        <v>1</v>
      </c>
      <c r="D457" s="310">
        <v>0</v>
      </c>
      <c r="E457" s="310">
        <v>6</v>
      </c>
      <c r="F457" s="433">
        <v>2</v>
      </c>
      <c r="G457" s="310">
        <v>3</v>
      </c>
      <c r="H457" s="434">
        <v>8</v>
      </c>
      <c r="I457" s="332">
        <f t="shared" si="42"/>
        <v>9</v>
      </c>
      <c r="J457" s="310">
        <v>29</v>
      </c>
    </row>
    <row r="458" spans="1:10">
      <c r="B458" s="436">
        <v>44105</v>
      </c>
      <c r="C458" s="437">
        <v>0</v>
      </c>
      <c r="D458" s="437">
        <v>0</v>
      </c>
      <c r="E458" s="437">
        <v>3</v>
      </c>
      <c r="F458" s="430">
        <v>0</v>
      </c>
      <c r="G458" s="437">
        <v>0</v>
      </c>
      <c r="H458" s="431">
        <v>0</v>
      </c>
      <c r="I458" s="332">
        <f t="shared" si="42"/>
        <v>11</v>
      </c>
      <c r="J458" s="437">
        <v>14</v>
      </c>
    </row>
    <row r="459" spans="1:10">
      <c r="B459" s="436">
        <v>44136</v>
      </c>
      <c r="C459" s="437">
        <v>0</v>
      </c>
      <c r="D459" s="437">
        <v>0</v>
      </c>
      <c r="E459" s="437">
        <v>0</v>
      </c>
      <c r="F459" s="430">
        <v>0</v>
      </c>
      <c r="G459" s="437">
        <v>0</v>
      </c>
      <c r="H459" s="431">
        <v>0</v>
      </c>
      <c r="I459" s="332">
        <f t="shared" si="42"/>
        <v>0</v>
      </c>
      <c r="J459" s="437">
        <v>0</v>
      </c>
    </row>
    <row r="460" spans="1:10">
      <c r="B460" s="436"/>
      <c r="C460" s="437"/>
      <c r="D460" s="437"/>
      <c r="E460" s="437"/>
      <c r="F460" s="437"/>
      <c r="G460" s="437"/>
      <c r="H460" s="437"/>
      <c r="I460" s="332"/>
      <c r="J460" s="437"/>
    </row>
    <row r="461" spans="1:10">
      <c r="C461">
        <f>SUM(C353:C459)</f>
        <v>1188</v>
      </c>
      <c r="D461">
        <f t="shared" ref="D461:J461" si="43">SUM(D353:D459)</f>
        <v>302</v>
      </c>
      <c r="E461">
        <f>SUM(E353:E459)</f>
        <v>1052</v>
      </c>
      <c r="F461">
        <f t="shared" si="43"/>
        <v>5266</v>
      </c>
      <c r="G461">
        <f t="shared" si="43"/>
        <v>611</v>
      </c>
      <c r="H461">
        <f t="shared" si="43"/>
        <v>2326</v>
      </c>
      <c r="I461">
        <f t="shared" si="43"/>
        <v>3476</v>
      </c>
      <c r="J461">
        <f t="shared" si="43"/>
        <v>14221</v>
      </c>
    </row>
    <row r="464" spans="1:10" ht="15.75" thickBot="1">
      <c r="A464" t="s">
        <v>36</v>
      </c>
      <c r="B464" s="450" t="s">
        <v>573</v>
      </c>
      <c r="C464" s="451"/>
      <c r="D464" s="451"/>
      <c r="E464" s="451"/>
      <c r="F464" s="451"/>
      <c r="G464" s="451"/>
      <c r="H464" s="451"/>
      <c r="I464" s="451"/>
      <c r="J464" s="451"/>
    </row>
    <row r="466" spans="2:12" ht="15">
      <c r="B466" s="43" t="s">
        <v>574</v>
      </c>
      <c r="C466" s="43" t="s">
        <v>575</v>
      </c>
      <c r="L466" t="s">
        <v>381</v>
      </c>
    </row>
    <row r="467" spans="2:12" ht="15">
      <c r="B467" s="43"/>
      <c r="C467" s="124" t="s">
        <v>5</v>
      </c>
      <c r="D467" s="124" t="s">
        <v>332</v>
      </c>
      <c r="E467" s="124" t="s">
        <v>4</v>
      </c>
    </row>
    <row r="468" spans="2:12">
      <c r="B468" s="343">
        <v>43374</v>
      </c>
      <c r="C468">
        <v>95</v>
      </c>
      <c r="F468">
        <f>SUM(C468:C470)</f>
        <v>443</v>
      </c>
    </row>
    <row r="469" spans="2:12">
      <c r="B469" s="343">
        <v>43405</v>
      </c>
      <c r="C469">
        <v>99</v>
      </c>
    </row>
    <row r="470" spans="2:12">
      <c r="B470" s="343">
        <v>43435</v>
      </c>
      <c r="C470">
        <v>249</v>
      </c>
    </row>
    <row r="471" spans="2:12">
      <c r="B471" s="343">
        <v>43466</v>
      </c>
      <c r="C471">
        <v>36</v>
      </c>
      <c r="F471">
        <f>SUM(C471:C473)</f>
        <v>155</v>
      </c>
    </row>
    <row r="472" spans="2:12">
      <c r="B472" s="343">
        <v>43497</v>
      </c>
      <c r="C472">
        <v>66</v>
      </c>
    </row>
    <row r="473" spans="2:12">
      <c r="B473" s="343">
        <v>43525</v>
      </c>
      <c r="C473">
        <v>53</v>
      </c>
    </row>
    <row r="474" spans="2:12">
      <c r="B474" s="343">
        <v>43556</v>
      </c>
      <c r="C474">
        <v>50</v>
      </c>
    </row>
    <row r="475" spans="2:12">
      <c r="B475" s="343">
        <v>43586</v>
      </c>
      <c r="C475">
        <v>73</v>
      </c>
    </row>
    <row r="477" spans="2:12">
      <c r="B477" s="412">
        <v>43739</v>
      </c>
      <c r="C477">
        <v>162</v>
      </c>
      <c r="D477">
        <v>59</v>
      </c>
      <c r="E477">
        <v>63</v>
      </c>
      <c r="F477">
        <f>SUM(C477:C479)</f>
        <v>907</v>
      </c>
      <c r="G477">
        <f t="shared" ref="G477:H477" si="44">SUM(D477:D479)</f>
        <v>249</v>
      </c>
      <c r="H477">
        <f t="shared" si="44"/>
        <v>416</v>
      </c>
      <c r="L477" t="s">
        <v>576</v>
      </c>
    </row>
    <row r="478" spans="2:12">
      <c r="B478" s="412">
        <v>43770</v>
      </c>
      <c r="C478">
        <v>745</v>
      </c>
      <c r="D478">
        <v>190</v>
      </c>
      <c r="E478">
        <v>351</v>
      </c>
      <c r="L478" t="s">
        <v>385</v>
      </c>
    </row>
    <row r="479" spans="2:12">
      <c r="B479" s="412">
        <v>43800</v>
      </c>
      <c r="C479">
        <v>0</v>
      </c>
      <c r="D479">
        <v>0</v>
      </c>
      <c r="E479">
        <v>2</v>
      </c>
    </row>
    <row r="480" spans="2:12">
      <c r="B480" s="343">
        <v>43831</v>
      </c>
      <c r="C480">
        <v>5</v>
      </c>
      <c r="D480">
        <v>0</v>
      </c>
      <c r="E480">
        <v>1</v>
      </c>
      <c r="F480">
        <f>SUM(C480:C482)</f>
        <v>6</v>
      </c>
      <c r="G480">
        <f t="shared" ref="G480:H480" si="45">SUM(D480:D482)</f>
        <v>0</v>
      </c>
      <c r="H480">
        <f t="shared" si="45"/>
        <v>3</v>
      </c>
    </row>
    <row r="481" spans="1:12">
      <c r="B481" s="343">
        <v>43862</v>
      </c>
      <c r="C481">
        <v>0</v>
      </c>
      <c r="D481">
        <v>0</v>
      </c>
      <c r="E481">
        <v>0</v>
      </c>
    </row>
    <row r="482" spans="1:12">
      <c r="B482" s="343">
        <v>43891</v>
      </c>
      <c r="C482">
        <v>1</v>
      </c>
      <c r="D482">
        <v>0</v>
      </c>
      <c r="E482">
        <v>2</v>
      </c>
    </row>
    <row r="483" spans="1:12">
      <c r="B483" s="343">
        <v>43922</v>
      </c>
      <c r="C483">
        <v>5</v>
      </c>
      <c r="D483">
        <v>0</v>
      </c>
      <c r="E483">
        <v>1</v>
      </c>
      <c r="F483">
        <f>SUM(C483:C485)</f>
        <v>11</v>
      </c>
      <c r="G483">
        <f t="shared" ref="G483:H483" si="46">SUM(D483:D485)</f>
        <v>0</v>
      </c>
      <c r="H483">
        <f t="shared" si="46"/>
        <v>2</v>
      </c>
    </row>
    <row r="484" spans="1:12">
      <c r="B484" s="343">
        <v>43952</v>
      </c>
      <c r="C484">
        <v>3</v>
      </c>
      <c r="D484">
        <v>0</v>
      </c>
      <c r="E484">
        <v>0</v>
      </c>
    </row>
    <row r="485" spans="1:12">
      <c r="B485" s="343">
        <v>43983</v>
      </c>
      <c r="C485">
        <v>3</v>
      </c>
      <c r="D485">
        <v>0</v>
      </c>
      <c r="E485">
        <v>1</v>
      </c>
    </row>
    <row r="486" spans="1:12">
      <c r="B486" s="343">
        <v>44013</v>
      </c>
      <c r="C486">
        <v>3</v>
      </c>
      <c r="D486">
        <v>0</v>
      </c>
      <c r="E486">
        <v>1</v>
      </c>
      <c r="F486">
        <f>SUM(C486:C488)</f>
        <v>11</v>
      </c>
      <c r="G486">
        <f t="shared" ref="G486:H486" si="47">SUM(D486:D488)</f>
        <v>0</v>
      </c>
      <c r="H486">
        <f t="shared" si="47"/>
        <v>7</v>
      </c>
    </row>
    <row r="487" spans="1:12">
      <c r="B487" s="343">
        <v>44044</v>
      </c>
      <c r="C487">
        <v>0</v>
      </c>
      <c r="D487">
        <v>0</v>
      </c>
      <c r="E487">
        <v>4</v>
      </c>
    </row>
    <row r="488" spans="1:12">
      <c r="B488" s="343">
        <v>44075</v>
      </c>
      <c r="C488">
        <v>8</v>
      </c>
      <c r="D488">
        <v>0</v>
      </c>
      <c r="E488">
        <v>2</v>
      </c>
    </row>
    <row r="489" spans="1:12">
      <c r="B489" s="412">
        <v>44105</v>
      </c>
      <c r="C489">
        <v>0</v>
      </c>
      <c r="D489">
        <v>0</v>
      </c>
      <c r="E489">
        <v>0</v>
      </c>
    </row>
    <row r="490" spans="1:12">
      <c r="B490" s="412">
        <v>44136</v>
      </c>
      <c r="C490">
        <v>0</v>
      </c>
      <c r="D490">
        <v>0</v>
      </c>
      <c r="E490">
        <v>0</v>
      </c>
    </row>
    <row r="491" spans="1:12">
      <c r="B491" s="412"/>
    </row>
    <row r="492" spans="1:12" ht="15">
      <c r="A492" t="s">
        <v>36</v>
      </c>
      <c r="B492" s="43" t="s">
        <v>577</v>
      </c>
    </row>
    <row r="493" spans="1:12">
      <c r="C493" t="s">
        <v>4</v>
      </c>
      <c r="D493" t="s">
        <v>332</v>
      </c>
      <c r="E493" t="s">
        <v>5</v>
      </c>
    </row>
    <row r="494" spans="1:12">
      <c r="B494" s="307" t="s">
        <v>85</v>
      </c>
      <c r="C494" s="295">
        <v>3808</v>
      </c>
      <c r="D494" s="3">
        <v>139</v>
      </c>
      <c r="E494" s="3">
        <v>109</v>
      </c>
      <c r="F494" s="3"/>
      <c r="L494" t="s">
        <v>578</v>
      </c>
    </row>
    <row r="495" spans="1:12">
      <c r="B495" s="307" t="s">
        <v>86</v>
      </c>
      <c r="C495" s="295">
        <v>391</v>
      </c>
      <c r="D495" s="3">
        <v>10</v>
      </c>
      <c r="E495" s="3">
        <v>11</v>
      </c>
      <c r="F495" s="3"/>
    </row>
    <row r="496" spans="1:12">
      <c r="B496" s="307" t="s">
        <v>87</v>
      </c>
      <c r="C496" s="295">
        <v>1415</v>
      </c>
      <c r="D496" s="3">
        <v>39</v>
      </c>
      <c r="E496" s="3">
        <v>42</v>
      </c>
      <c r="F496" s="3"/>
    </row>
    <row r="497" spans="2:15">
      <c r="B497" s="424" t="s">
        <v>88</v>
      </c>
      <c r="C497" s="295">
        <v>5334</v>
      </c>
      <c r="D497" s="3">
        <v>216</v>
      </c>
      <c r="E497" s="3">
        <v>192</v>
      </c>
      <c r="F497" s="3">
        <f>SUM(C494:C497)</f>
        <v>10948</v>
      </c>
    </row>
    <row r="498" spans="2:15">
      <c r="B498" s="307" t="s">
        <v>90</v>
      </c>
      <c r="C498" s="3">
        <v>3310</v>
      </c>
      <c r="D498" s="3">
        <v>159</v>
      </c>
      <c r="E498" s="3">
        <v>157</v>
      </c>
      <c r="F498" s="452"/>
    </row>
    <row r="499" spans="2:15">
      <c r="B499" s="307" t="s">
        <v>50</v>
      </c>
      <c r="C499" s="3">
        <v>1172</v>
      </c>
      <c r="D499" s="3">
        <v>64</v>
      </c>
      <c r="E499" s="3">
        <v>42</v>
      </c>
      <c r="F499" s="453"/>
      <c r="M499" s="319"/>
      <c r="N499" s="293"/>
    </row>
    <row r="500" spans="2:15">
      <c r="B500" s="307" t="s">
        <v>52</v>
      </c>
      <c r="C500" s="3">
        <v>3280</v>
      </c>
      <c r="D500" s="3">
        <v>177</v>
      </c>
      <c r="E500" s="3">
        <v>261</v>
      </c>
      <c r="F500" s="3"/>
    </row>
    <row r="501" spans="2:15">
      <c r="B501" s="424" t="s">
        <v>54</v>
      </c>
      <c r="C501" s="3">
        <v>1009</v>
      </c>
      <c r="D501" s="3">
        <v>123</v>
      </c>
      <c r="E501" s="3">
        <v>127</v>
      </c>
      <c r="F501" s="3">
        <f>SUM(C498:C501)</f>
        <v>8771</v>
      </c>
      <c r="M501" s="2"/>
      <c r="N501" s="2"/>
      <c r="O501" s="2"/>
    </row>
    <row r="502" spans="2:15">
      <c r="B502" s="307" t="s">
        <v>56</v>
      </c>
      <c r="C502" s="3">
        <v>1245</v>
      </c>
      <c r="D502" s="3">
        <v>328</v>
      </c>
      <c r="E502" s="3">
        <v>381</v>
      </c>
      <c r="F502" s="3"/>
      <c r="M502" s="2"/>
      <c r="N502" s="2"/>
      <c r="O502" s="2"/>
    </row>
    <row r="503" spans="2:15">
      <c r="B503" s="307" t="s">
        <v>58</v>
      </c>
      <c r="C503" s="3">
        <v>696</v>
      </c>
      <c r="D503" s="3">
        <v>174</v>
      </c>
      <c r="E503" s="3">
        <v>283</v>
      </c>
      <c r="F503" s="3"/>
      <c r="M503" s="2"/>
      <c r="N503" s="2"/>
      <c r="O503" s="2"/>
    </row>
    <row r="504" spans="2:15">
      <c r="B504" s="307" t="s">
        <v>60</v>
      </c>
      <c r="C504" s="3">
        <v>207</v>
      </c>
      <c r="D504" s="3">
        <v>84</v>
      </c>
      <c r="E504" s="3">
        <v>127</v>
      </c>
      <c r="F504" s="3"/>
      <c r="M504" s="2"/>
      <c r="N504" s="2"/>
      <c r="O504" s="2"/>
    </row>
    <row r="505" spans="2:15">
      <c r="B505" s="424" t="s">
        <v>62</v>
      </c>
      <c r="C505" s="3">
        <v>294</v>
      </c>
      <c r="D505" s="3">
        <v>182</v>
      </c>
      <c r="E505" s="454">
        <v>330</v>
      </c>
      <c r="F505" s="3">
        <f>SUM(C502:C505)</f>
        <v>2442</v>
      </c>
      <c r="H505" s="2"/>
      <c r="I505" s="2"/>
      <c r="M505" s="2"/>
      <c r="N505" s="2"/>
      <c r="O505" s="2"/>
    </row>
    <row r="506" spans="2:15">
      <c r="B506" s="307" t="s">
        <v>64</v>
      </c>
      <c r="C506" s="3">
        <v>195</v>
      </c>
      <c r="D506" s="3">
        <v>148</v>
      </c>
      <c r="E506" s="454">
        <v>443</v>
      </c>
      <c r="F506" s="3"/>
      <c r="M506" s="2"/>
      <c r="N506" s="2"/>
      <c r="O506" s="2"/>
    </row>
    <row r="507" spans="2:15">
      <c r="B507" s="307" t="s">
        <v>65</v>
      </c>
      <c r="C507" s="3">
        <v>118</v>
      </c>
      <c r="D507" s="3">
        <v>59</v>
      </c>
      <c r="E507" s="454">
        <v>155</v>
      </c>
      <c r="F507" s="3"/>
      <c r="M507" s="2"/>
      <c r="N507" s="2"/>
    </row>
    <row r="508" spans="2:15">
      <c r="B508" s="307" t="s">
        <v>66</v>
      </c>
      <c r="C508" s="3">
        <v>91</v>
      </c>
      <c r="D508" s="3">
        <v>52</v>
      </c>
      <c r="E508" s="454">
        <v>180</v>
      </c>
      <c r="F508" s="3"/>
      <c r="M508" s="2"/>
      <c r="N508" s="2"/>
    </row>
    <row r="509" spans="2:15">
      <c r="B509" s="424" t="s">
        <v>67</v>
      </c>
      <c r="C509" s="3">
        <v>118</v>
      </c>
      <c r="D509" s="3">
        <v>136</v>
      </c>
      <c r="E509" s="454">
        <v>249</v>
      </c>
      <c r="F509" s="3">
        <f>SUM(C506:C509)</f>
        <v>522</v>
      </c>
      <c r="M509" s="2"/>
      <c r="N509" s="2"/>
    </row>
    <row r="510" spans="2:15">
      <c r="B510" s="307" t="s">
        <v>68</v>
      </c>
      <c r="C510" s="3">
        <v>416</v>
      </c>
      <c r="D510" s="3">
        <v>249</v>
      </c>
      <c r="E510" s="454">
        <v>907</v>
      </c>
      <c r="F510" s="3"/>
      <c r="M510" s="2"/>
      <c r="N510" s="2"/>
    </row>
    <row r="511" spans="2:15">
      <c r="B511" s="307" t="s">
        <v>69</v>
      </c>
      <c r="C511" s="3">
        <v>3</v>
      </c>
      <c r="D511" s="3">
        <v>0</v>
      </c>
      <c r="E511" s="3">
        <v>6</v>
      </c>
      <c r="F511" s="3"/>
      <c r="M511" s="2"/>
    </row>
    <row r="512" spans="2:15">
      <c r="B512" s="307" t="s">
        <v>70</v>
      </c>
      <c r="C512" s="3">
        <v>2</v>
      </c>
      <c r="D512" s="3">
        <v>0</v>
      </c>
      <c r="E512" s="3">
        <v>11</v>
      </c>
      <c r="F512" s="3"/>
    </row>
    <row r="513" spans="1:9">
      <c r="B513" s="424" t="s">
        <v>71</v>
      </c>
      <c r="C513" s="3">
        <v>7</v>
      </c>
      <c r="D513" s="3">
        <v>4</v>
      </c>
      <c r="E513" s="3">
        <v>11</v>
      </c>
      <c r="F513" s="3"/>
    </row>
    <row r="514" spans="1:9">
      <c r="B514" s="307"/>
      <c r="C514" s="3"/>
      <c r="D514" s="3"/>
      <c r="E514" s="3"/>
      <c r="F514" s="3"/>
    </row>
    <row r="515" spans="1:9" ht="15">
      <c r="A515" t="s">
        <v>36</v>
      </c>
      <c r="B515" s="323" t="s">
        <v>579</v>
      </c>
      <c r="C515" s="3"/>
      <c r="D515" s="3"/>
      <c r="E515" s="3"/>
      <c r="F515" s="3"/>
      <c r="I515" t="s">
        <v>580</v>
      </c>
    </row>
    <row r="516" spans="1:9">
      <c r="B516" s="307" t="s">
        <v>581</v>
      </c>
      <c r="C516" s="3"/>
      <c r="D516" s="3"/>
      <c r="E516" s="3"/>
      <c r="F516" s="3"/>
      <c r="I516" s="23" t="s">
        <v>582</v>
      </c>
    </row>
    <row r="517" spans="1:9">
      <c r="B517" s="307" t="s">
        <v>583</v>
      </c>
      <c r="C517" s="3"/>
      <c r="D517" s="3"/>
      <c r="E517" s="3"/>
      <c r="F517" s="3"/>
      <c r="I517" s="23" t="s">
        <v>584</v>
      </c>
    </row>
    <row r="518" spans="1:9">
      <c r="B518" s="307"/>
      <c r="C518" s="3"/>
      <c r="D518" s="3"/>
      <c r="E518" s="3"/>
      <c r="F518" s="3"/>
    </row>
    <row r="519" spans="1:9">
      <c r="B519" s="307" t="s">
        <v>585</v>
      </c>
      <c r="C519" s="314" t="s">
        <v>586</v>
      </c>
      <c r="D519" s="314" t="s">
        <v>587</v>
      </c>
      <c r="E519" s="3" t="s">
        <v>588</v>
      </c>
      <c r="F519" s="3"/>
    </row>
    <row r="520" spans="1:9">
      <c r="B520" s="405">
        <v>42826</v>
      </c>
      <c r="C520" s="455">
        <v>9</v>
      </c>
      <c r="D520" s="349">
        <v>173</v>
      </c>
      <c r="E520" s="3">
        <f>SUM(C520:D520)</f>
        <v>182</v>
      </c>
      <c r="F520" s="3"/>
    </row>
    <row r="521" spans="1:9">
      <c r="B521" s="405">
        <v>42856</v>
      </c>
      <c r="C521" s="455">
        <v>1</v>
      </c>
      <c r="D521" s="349">
        <v>25</v>
      </c>
      <c r="E521" s="3">
        <f t="shared" ref="E521:E580" si="48">SUM(C521:D521)</f>
        <v>26</v>
      </c>
      <c r="F521" s="3"/>
    </row>
    <row r="522" spans="1:9">
      <c r="B522" s="405">
        <v>42887</v>
      </c>
      <c r="C522" s="455">
        <v>2</v>
      </c>
      <c r="D522" s="349">
        <v>14</v>
      </c>
      <c r="E522" s="3">
        <f t="shared" si="48"/>
        <v>16</v>
      </c>
      <c r="F522" s="3"/>
    </row>
    <row r="523" spans="1:9">
      <c r="B523" s="405">
        <v>42917</v>
      </c>
      <c r="C523" s="314" t="s">
        <v>291</v>
      </c>
      <c r="D523" s="349">
        <v>19</v>
      </c>
      <c r="E523" s="3">
        <f t="shared" si="48"/>
        <v>19</v>
      </c>
      <c r="F523" s="3"/>
    </row>
    <row r="524" spans="1:9">
      <c r="B524" s="405">
        <v>42948</v>
      </c>
      <c r="C524" s="314" t="s">
        <v>291</v>
      </c>
      <c r="D524" s="349">
        <v>36</v>
      </c>
      <c r="E524" s="3">
        <f t="shared" si="48"/>
        <v>36</v>
      </c>
      <c r="F524" s="3"/>
    </row>
    <row r="525" spans="1:9">
      <c r="B525" s="405">
        <v>42979</v>
      </c>
      <c r="C525" s="455">
        <v>1</v>
      </c>
      <c r="D525" s="349">
        <v>70</v>
      </c>
      <c r="E525" s="3">
        <f t="shared" si="48"/>
        <v>71</v>
      </c>
      <c r="F525" s="3"/>
    </row>
    <row r="526" spans="1:9">
      <c r="B526" s="405">
        <v>43009</v>
      </c>
      <c r="C526" s="455">
        <v>1</v>
      </c>
      <c r="D526" s="349">
        <v>59</v>
      </c>
      <c r="E526" s="3">
        <f t="shared" si="48"/>
        <v>60</v>
      </c>
      <c r="F526" s="3"/>
    </row>
    <row r="527" spans="1:9">
      <c r="B527" s="405">
        <v>43040</v>
      </c>
      <c r="C527" s="455">
        <v>2</v>
      </c>
      <c r="D527" s="349">
        <v>59</v>
      </c>
      <c r="E527" s="3">
        <f t="shared" si="48"/>
        <v>61</v>
      </c>
      <c r="F527" s="3"/>
    </row>
    <row r="528" spans="1:9">
      <c r="B528" s="405">
        <v>43070</v>
      </c>
      <c r="C528" s="455">
        <v>7</v>
      </c>
      <c r="D528" s="349">
        <v>232</v>
      </c>
      <c r="E528" s="3">
        <f t="shared" si="48"/>
        <v>239</v>
      </c>
      <c r="F528" s="3"/>
    </row>
    <row r="529" spans="2:6">
      <c r="B529" s="405">
        <v>43101</v>
      </c>
      <c r="C529" s="455">
        <v>2</v>
      </c>
      <c r="D529" s="349">
        <v>55</v>
      </c>
      <c r="E529" s="3">
        <f t="shared" si="48"/>
        <v>57</v>
      </c>
      <c r="F529" s="3"/>
    </row>
    <row r="530" spans="2:6">
      <c r="B530" s="405">
        <v>43132</v>
      </c>
      <c r="C530" s="455">
        <v>1</v>
      </c>
      <c r="D530" s="349">
        <v>49</v>
      </c>
      <c r="E530" s="3">
        <f t="shared" si="48"/>
        <v>50</v>
      </c>
      <c r="F530" s="3"/>
    </row>
    <row r="531" spans="2:6">
      <c r="B531" s="405">
        <v>43160</v>
      </c>
      <c r="C531" s="455">
        <v>4</v>
      </c>
      <c r="D531" s="349">
        <v>143</v>
      </c>
      <c r="E531" s="3">
        <f t="shared" si="48"/>
        <v>147</v>
      </c>
      <c r="F531" s="3"/>
    </row>
    <row r="532" spans="2:6">
      <c r="B532" s="405">
        <v>43191</v>
      </c>
      <c r="C532" s="455">
        <v>2</v>
      </c>
      <c r="D532" s="349">
        <v>21</v>
      </c>
      <c r="E532" s="3">
        <f t="shared" si="48"/>
        <v>23</v>
      </c>
      <c r="F532" s="3"/>
    </row>
    <row r="533" spans="2:6">
      <c r="B533" s="405">
        <v>43221</v>
      </c>
      <c r="C533" s="314" t="s">
        <v>291</v>
      </c>
      <c r="D533" s="349">
        <v>27</v>
      </c>
      <c r="E533" s="3">
        <f t="shared" si="48"/>
        <v>27</v>
      </c>
      <c r="F533" s="3"/>
    </row>
    <row r="534" spans="2:6">
      <c r="B534" s="405">
        <v>43252</v>
      </c>
      <c r="C534" s="455">
        <v>1</v>
      </c>
      <c r="D534" s="349">
        <v>53</v>
      </c>
      <c r="E534" s="3">
        <f t="shared" si="48"/>
        <v>54</v>
      </c>
      <c r="F534" s="3"/>
    </row>
    <row r="535" spans="2:6">
      <c r="B535" s="405">
        <v>43282</v>
      </c>
      <c r="C535" s="455">
        <v>4</v>
      </c>
      <c r="D535" s="349">
        <v>60</v>
      </c>
      <c r="E535" s="3">
        <f t="shared" si="48"/>
        <v>64</v>
      </c>
      <c r="F535" s="3"/>
    </row>
    <row r="536" spans="2:6">
      <c r="B536" s="405">
        <v>43313</v>
      </c>
      <c r="C536" s="455">
        <v>4</v>
      </c>
      <c r="D536" s="349">
        <v>79</v>
      </c>
      <c r="E536" s="3">
        <f t="shared" si="48"/>
        <v>83</v>
      </c>
      <c r="F536" s="3"/>
    </row>
    <row r="537" spans="2:6">
      <c r="B537" s="405">
        <v>43344</v>
      </c>
      <c r="C537" s="455">
        <v>15</v>
      </c>
      <c r="D537" s="349">
        <v>256</v>
      </c>
      <c r="E537" s="3">
        <f t="shared" si="48"/>
        <v>271</v>
      </c>
      <c r="F537" s="3"/>
    </row>
    <row r="538" spans="2:6">
      <c r="B538" s="405">
        <v>43374</v>
      </c>
      <c r="C538" s="455">
        <v>3</v>
      </c>
      <c r="D538" s="349">
        <v>80</v>
      </c>
      <c r="E538" s="3">
        <f t="shared" si="48"/>
        <v>83</v>
      </c>
      <c r="F538" s="3"/>
    </row>
    <row r="539" spans="2:6">
      <c r="B539" s="405">
        <v>43405</v>
      </c>
      <c r="C539" s="455">
        <v>8</v>
      </c>
      <c r="D539" s="349">
        <v>83</v>
      </c>
      <c r="E539" s="3">
        <f t="shared" si="48"/>
        <v>91</v>
      </c>
      <c r="F539" s="3"/>
    </row>
    <row r="540" spans="2:6">
      <c r="B540" s="405">
        <v>43435</v>
      </c>
      <c r="C540" s="455">
        <v>37</v>
      </c>
      <c r="D540" s="349">
        <v>184</v>
      </c>
      <c r="E540" s="3">
        <f t="shared" si="48"/>
        <v>221</v>
      </c>
      <c r="F540" s="3"/>
    </row>
    <row r="541" spans="2:6">
      <c r="B541" s="405">
        <v>43466</v>
      </c>
      <c r="C541" s="455">
        <v>11</v>
      </c>
      <c r="D541" s="349">
        <v>20</v>
      </c>
      <c r="E541" s="3">
        <f t="shared" si="48"/>
        <v>31</v>
      </c>
      <c r="F541" s="3"/>
    </row>
    <row r="542" spans="2:6">
      <c r="B542" s="405">
        <v>43497</v>
      </c>
      <c r="C542" s="455">
        <v>23</v>
      </c>
      <c r="D542" s="349">
        <v>37</v>
      </c>
      <c r="E542" s="3">
        <f t="shared" si="48"/>
        <v>60</v>
      </c>
      <c r="F542" s="3"/>
    </row>
    <row r="543" spans="2:6">
      <c r="B543" s="405">
        <v>43525</v>
      </c>
      <c r="C543" s="455">
        <v>15</v>
      </c>
      <c r="D543" s="349">
        <v>38</v>
      </c>
      <c r="E543" s="3">
        <f t="shared" si="48"/>
        <v>53</v>
      </c>
      <c r="F543" s="3"/>
    </row>
    <row r="544" spans="2:6">
      <c r="B544" s="405">
        <v>43556</v>
      </c>
      <c r="C544" s="455">
        <v>15</v>
      </c>
      <c r="D544" s="349">
        <v>31</v>
      </c>
      <c r="E544" s="3">
        <f t="shared" si="48"/>
        <v>46</v>
      </c>
      <c r="F544" s="3"/>
    </row>
    <row r="545" spans="2:7">
      <c r="B545" s="405">
        <v>43586</v>
      </c>
      <c r="C545" s="455">
        <v>19</v>
      </c>
      <c r="D545" s="349">
        <v>52</v>
      </c>
      <c r="E545" s="3">
        <f t="shared" si="48"/>
        <v>71</v>
      </c>
      <c r="F545" s="3"/>
    </row>
    <row r="546" spans="2:7">
      <c r="B546" s="405">
        <v>43617</v>
      </c>
      <c r="C546" s="455">
        <v>16</v>
      </c>
      <c r="D546" s="349">
        <v>33</v>
      </c>
      <c r="E546" s="3">
        <f t="shared" si="48"/>
        <v>49</v>
      </c>
      <c r="F546" s="3"/>
    </row>
    <row r="547" spans="2:7">
      <c r="B547" s="405">
        <v>43647</v>
      </c>
      <c r="C547" s="455">
        <v>29</v>
      </c>
      <c r="D547" s="349">
        <v>51</v>
      </c>
      <c r="E547" s="3">
        <f t="shared" si="48"/>
        <v>80</v>
      </c>
      <c r="F547" s="3"/>
    </row>
    <row r="548" spans="2:7">
      <c r="B548" s="405">
        <v>43678</v>
      </c>
      <c r="C548" s="455">
        <v>55</v>
      </c>
      <c r="D548" s="349">
        <v>22</v>
      </c>
      <c r="E548" s="3">
        <f t="shared" si="48"/>
        <v>77</v>
      </c>
      <c r="F548" s="3"/>
    </row>
    <row r="549" spans="2:7">
      <c r="B549" s="405">
        <v>43709</v>
      </c>
      <c r="C549" s="455">
        <v>78</v>
      </c>
      <c r="D549" s="349">
        <v>7</v>
      </c>
      <c r="E549" s="3">
        <f t="shared" si="48"/>
        <v>85</v>
      </c>
      <c r="F549" s="3"/>
    </row>
    <row r="550" spans="2:7">
      <c r="B550" s="405">
        <v>43739</v>
      </c>
      <c r="C550" s="455">
        <v>140</v>
      </c>
      <c r="D550" s="349">
        <v>15</v>
      </c>
      <c r="E550" s="3">
        <f t="shared" si="48"/>
        <v>155</v>
      </c>
      <c r="F550" s="3"/>
      <c r="G550" s="4"/>
    </row>
    <row r="551" spans="2:7">
      <c r="B551" s="405">
        <v>43770</v>
      </c>
      <c r="C551" s="455">
        <v>598</v>
      </c>
      <c r="D551" s="349">
        <v>89</v>
      </c>
      <c r="E551" s="3">
        <f t="shared" si="48"/>
        <v>687</v>
      </c>
      <c r="F551" s="3"/>
      <c r="G551" s="4"/>
    </row>
    <row r="552" spans="2:7">
      <c r="B552" s="405">
        <v>43800</v>
      </c>
      <c r="C552" s="314" t="s">
        <v>291</v>
      </c>
      <c r="D552" s="349" t="s">
        <v>291</v>
      </c>
      <c r="E552" s="3">
        <f t="shared" si="48"/>
        <v>0</v>
      </c>
      <c r="F552" s="3"/>
    </row>
    <row r="553" spans="2:7">
      <c r="B553" s="405">
        <v>43831</v>
      </c>
      <c r="C553" s="455">
        <v>4</v>
      </c>
      <c r="D553" s="349" t="s">
        <v>291</v>
      </c>
      <c r="E553" s="3">
        <f t="shared" si="48"/>
        <v>4</v>
      </c>
      <c r="F553" s="3"/>
    </row>
    <row r="554" spans="2:7">
      <c r="B554" s="405">
        <v>43862</v>
      </c>
      <c r="C554" s="314" t="s">
        <v>291</v>
      </c>
      <c r="D554" s="349" t="s">
        <v>291</v>
      </c>
      <c r="E554" s="3">
        <f t="shared" si="48"/>
        <v>0</v>
      </c>
      <c r="F554" s="3"/>
    </row>
    <row r="555" spans="2:7">
      <c r="B555" s="405">
        <v>43891</v>
      </c>
      <c r="C555" s="455">
        <v>1</v>
      </c>
      <c r="D555" s="349" t="s">
        <v>291</v>
      </c>
      <c r="E555" s="3">
        <f t="shared" si="48"/>
        <v>1</v>
      </c>
      <c r="F555" s="3"/>
    </row>
    <row r="556" spans="2:7">
      <c r="B556" s="405">
        <v>43922</v>
      </c>
      <c r="C556" s="455">
        <v>3</v>
      </c>
      <c r="D556" s="349">
        <v>1</v>
      </c>
      <c r="E556" s="3">
        <f t="shared" si="48"/>
        <v>4</v>
      </c>
      <c r="F556" s="3"/>
    </row>
    <row r="557" spans="2:7">
      <c r="B557" s="405">
        <v>43952</v>
      </c>
      <c r="C557" s="455">
        <v>2</v>
      </c>
      <c r="D557" s="349" t="s">
        <v>291</v>
      </c>
      <c r="E557" s="3">
        <f t="shared" si="48"/>
        <v>2</v>
      </c>
      <c r="F557" s="3"/>
    </row>
    <row r="558" spans="2:7">
      <c r="B558" s="405">
        <v>43983</v>
      </c>
      <c r="C558" s="455">
        <v>2</v>
      </c>
      <c r="D558" s="349">
        <v>1</v>
      </c>
      <c r="E558" s="3">
        <f t="shared" si="48"/>
        <v>3</v>
      </c>
      <c r="F558" s="3"/>
    </row>
    <row r="559" spans="2:7">
      <c r="B559" s="405">
        <v>44013</v>
      </c>
      <c r="C559" s="455">
        <v>3</v>
      </c>
      <c r="D559" s="349" t="s">
        <v>291</v>
      </c>
      <c r="E559" s="3">
        <f t="shared" si="48"/>
        <v>3</v>
      </c>
      <c r="F559" s="3"/>
    </row>
    <row r="560" spans="2:7">
      <c r="B560" s="405">
        <v>44044</v>
      </c>
      <c r="C560" s="314" t="s">
        <v>291</v>
      </c>
      <c r="D560" s="349" t="s">
        <v>291</v>
      </c>
      <c r="E560" s="3">
        <f t="shared" si="48"/>
        <v>0</v>
      </c>
      <c r="F560" s="3"/>
    </row>
    <row r="561" spans="2:12">
      <c r="B561" s="405">
        <v>44075</v>
      </c>
      <c r="C561" s="455">
        <v>6</v>
      </c>
      <c r="D561" s="349">
        <v>2</v>
      </c>
      <c r="E561" s="3">
        <f t="shared" si="48"/>
        <v>8</v>
      </c>
      <c r="F561" s="3"/>
    </row>
    <row r="562" spans="2:12">
      <c r="B562" s="405">
        <v>44105</v>
      </c>
      <c r="C562" s="455">
        <v>1</v>
      </c>
      <c r="D562" s="349" t="s">
        <v>291</v>
      </c>
      <c r="E562" s="3">
        <f t="shared" si="48"/>
        <v>1</v>
      </c>
      <c r="F562" s="3"/>
    </row>
    <row r="563" spans="2:12">
      <c r="B563" s="405">
        <v>44136</v>
      </c>
      <c r="C563" s="455">
        <v>2</v>
      </c>
      <c r="D563" s="349" t="s">
        <v>291</v>
      </c>
      <c r="E563" s="3">
        <f t="shared" si="48"/>
        <v>2</v>
      </c>
      <c r="F563" s="3"/>
    </row>
    <row r="564" spans="2:12">
      <c r="B564" s="405">
        <v>44166</v>
      </c>
      <c r="C564" s="455">
        <v>7</v>
      </c>
      <c r="D564" s="349" t="s">
        <v>291</v>
      </c>
      <c r="E564" s="3">
        <f t="shared" si="48"/>
        <v>7</v>
      </c>
      <c r="F564" s="3"/>
    </row>
    <row r="565" spans="2:12">
      <c r="B565" s="405">
        <v>44197</v>
      </c>
      <c r="C565" s="455">
        <v>2</v>
      </c>
      <c r="D565" s="349">
        <v>1</v>
      </c>
      <c r="E565" s="3">
        <f t="shared" si="48"/>
        <v>3</v>
      </c>
      <c r="F565" s="3"/>
    </row>
    <row r="566" spans="2:12">
      <c r="B566" s="405">
        <v>44228</v>
      </c>
      <c r="C566" s="455">
        <v>6</v>
      </c>
      <c r="D566" s="349" t="s">
        <v>291</v>
      </c>
      <c r="E566" s="3">
        <f t="shared" si="48"/>
        <v>6</v>
      </c>
      <c r="F566" s="3"/>
    </row>
    <row r="567" spans="2:12">
      <c r="B567" s="405">
        <v>44256</v>
      </c>
      <c r="C567" s="455">
        <v>12</v>
      </c>
      <c r="D567" s="349">
        <v>1</v>
      </c>
      <c r="E567" s="3">
        <f t="shared" si="48"/>
        <v>13</v>
      </c>
      <c r="F567" s="3"/>
      <c r="J567" t="s">
        <v>589</v>
      </c>
    </row>
    <row r="568" spans="2:12">
      <c r="B568" s="405">
        <v>44287</v>
      </c>
      <c r="C568" s="455">
        <v>11</v>
      </c>
      <c r="D568" s="349" t="s">
        <v>291</v>
      </c>
      <c r="E568" s="3">
        <f t="shared" si="48"/>
        <v>11</v>
      </c>
      <c r="F568" s="3"/>
      <c r="H568" s="5" t="s">
        <v>67</v>
      </c>
      <c r="J568" s="315">
        <f>SUM(C547:C549)</f>
        <v>162</v>
      </c>
    </row>
    <row r="569" spans="2:12">
      <c r="B569" s="405">
        <v>44317</v>
      </c>
      <c r="C569" s="455">
        <v>6</v>
      </c>
      <c r="D569" s="349">
        <v>1</v>
      </c>
      <c r="E569" s="3">
        <f t="shared" si="48"/>
        <v>7</v>
      </c>
      <c r="F569" s="3"/>
      <c r="H569" s="5" t="s">
        <v>68</v>
      </c>
      <c r="J569" s="315">
        <f>SUM(C550:C552)</f>
        <v>738</v>
      </c>
    </row>
    <row r="570" spans="2:12">
      <c r="B570" s="405">
        <v>44348</v>
      </c>
      <c r="C570" s="455">
        <v>162</v>
      </c>
      <c r="D570" s="349" t="s">
        <v>291</v>
      </c>
      <c r="E570" s="3">
        <f t="shared" si="48"/>
        <v>162</v>
      </c>
      <c r="F570" s="3"/>
      <c r="H570" s="5" t="s">
        <v>69</v>
      </c>
      <c r="J570" s="315">
        <f>SUM(C553:C555)</f>
        <v>5</v>
      </c>
    </row>
    <row r="571" spans="2:12">
      <c r="B571" s="405">
        <v>44378</v>
      </c>
      <c r="C571" s="455">
        <v>4</v>
      </c>
      <c r="D571" s="349">
        <v>2</v>
      </c>
      <c r="E571" s="3">
        <f t="shared" si="48"/>
        <v>6</v>
      </c>
      <c r="F571" s="3"/>
      <c r="H571" s="5" t="s">
        <v>70</v>
      </c>
      <c r="J571" s="315">
        <f>SUM(C556:C558)</f>
        <v>7</v>
      </c>
    </row>
    <row r="572" spans="2:12">
      <c r="B572" s="405">
        <v>44409</v>
      </c>
      <c r="C572" s="455">
        <v>7</v>
      </c>
      <c r="D572" s="349" t="s">
        <v>291</v>
      </c>
      <c r="E572" s="3">
        <f t="shared" si="48"/>
        <v>7</v>
      </c>
      <c r="F572" s="3"/>
      <c r="H572" s="5" t="s">
        <v>71</v>
      </c>
      <c r="J572" s="315">
        <f>SUM(C559:C561)</f>
        <v>9</v>
      </c>
      <c r="L572" t="s">
        <v>590</v>
      </c>
    </row>
    <row r="573" spans="2:12">
      <c r="B573" s="405">
        <v>44440</v>
      </c>
      <c r="C573" s="455">
        <v>21</v>
      </c>
      <c r="D573" s="349">
        <v>3</v>
      </c>
      <c r="E573" s="3">
        <f t="shared" si="48"/>
        <v>24</v>
      </c>
      <c r="F573" s="3"/>
      <c r="H573" s="60" t="s">
        <v>72</v>
      </c>
      <c r="J573" s="315">
        <f>SUM(C562:C564)</f>
        <v>10</v>
      </c>
      <c r="L573" s="2">
        <f>SUM(E562:E564)</f>
        <v>10</v>
      </c>
    </row>
    <row r="574" spans="2:12">
      <c r="B574" s="405">
        <v>44470</v>
      </c>
      <c r="C574" s="455">
        <v>9</v>
      </c>
      <c r="D574" s="349">
        <v>2</v>
      </c>
      <c r="E574" s="3">
        <f t="shared" si="48"/>
        <v>11</v>
      </c>
      <c r="F574" s="3"/>
      <c r="H574" s="60" t="s">
        <v>73</v>
      </c>
      <c r="J574" s="315">
        <f>SUM(C565:C567)</f>
        <v>20</v>
      </c>
      <c r="L574" s="2">
        <f>SUM(E565:E567)</f>
        <v>22</v>
      </c>
    </row>
    <row r="575" spans="2:12">
      <c r="B575" s="405">
        <v>44501</v>
      </c>
      <c r="C575" s="455">
        <v>27</v>
      </c>
      <c r="D575" s="349">
        <v>6</v>
      </c>
      <c r="E575" s="3">
        <f t="shared" si="48"/>
        <v>33</v>
      </c>
      <c r="F575" s="3"/>
      <c r="H575" s="60" t="s">
        <v>74</v>
      </c>
      <c r="J575" s="315">
        <f>SUM(C568:C570)</f>
        <v>179</v>
      </c>
      <c r="L575" s="2">
        <f>SUM(E568:E570)</f>
        <v>180</v>
      </c>
    </row>
    <row r="576" spans="2:12">
      <c r="B576" s="405">
        <v>44531</v>
      </c>
      <c r="C576" s="455">
        <v>21</v>
      </c>
      <c r="D576" s="349">
        <v>5</v>
      </c>
      <c r="E576" s="3">
        <f t="shared" si="48"/>
        <v>26</v>
      </c>
      <c r="F576" s="3"/>
      <c r="H576" s="60" t="s">
        <v>75</v>
      </c>
      <c r="J576" s="315">
        <f>SUM(C571:C573)</f>
        <v>32</v>
      </c>
      <c r="L576" s="2">
        <f>SUM(E571:E573)</f>
        <v>37</v>
      </c>
    </row>
    <row r="577" spans="1:16">
      <c r="B577" s="405">
        <v>44562</v>
      </c>
      <c r="C577" s="455">
        <v>18</v>
      </c>
      <c r="D577" s="349">
        <v>1</v>
      </c>
      <c r="E577" s="3">
        <f t="shared" si="48"/>
        <v>19</v>
      </c>
      <c r="F577" s="3"/>
      <c r="H577" s="60" t="s">
        <v>76</v>
      </c>
      <c r="J577" s="315">
        <f>SUM(C574:C576)</f>
        <v>57</v>
      </c>
      <c r="L577" s="2">
        <f>SUM(E574:E576)</f>
        <v>70</v>
      </c>
    </row>
    <row r="578" spans="1:16">
      <c r="B578" s="405">
        <v>44593</v>
      </c>
      <c r="C578" s="455">
        <v>46</v>
      </c>
      <c r="D578" s="349">
        <v>3</v>
      </c>
      <c r="E578" s="3">
        <f t="shared" si="48"/>
        <v>49</v>
      </c>
      <c r="F578" s="3"/>
      <c r="H578" s="60" t="s">
        <v>77</v>
      </c>
      <c r="J578" s="315">
        <f>SUM(C577:C579)</f>
        <v>186</v>
      </c>
      <c r="L578" s="2">
        <f>SUM(E577:E579)</f>
        <v>195</v>
      </c>
    </row>
    <row r="579" spans="1:16">
      <c r="B579" s="405">
        <v>44621</v>
      </c>
      <c r="C579" s="455">
        <v>122</v>
      </c>
      <c r="D579" s="349">
        <v>5</v>
      </c>
      <c r="E579" s="3">
        <f t="shared" si="48"/>
        <v>127</v>
      </c>
      <c r="F579" s="3"/>
    </row>
    <row r="580" spans="1:16">
      <c r="B580" s="405">
        <v>44652</v>
      </c>
      <c r="C580" s="455">
        <v>3</v>
      </c>
      <c r="D580" s="314"/>
      <c r="E580" s="3">
        <f t="shared" si="48"/>
        <v>3</v>
      </c>
      <c r="F580" s="3"/>
    </row>
    <row r="581" spans="1:16">
      <c r="B581" s="307"/>
      <c r="C581" s="3"/>
      <c r="D581" s="3"/>
      <c r="E581" s="3"/>
      <c r="F581" s="3"/>
    </row>
    <row r="583" spans="1:16" ht="18">
      <c r="A583" t="s">
        <v>36</v>
      </c>
      <c r="B583" s="456" t="s">
        <v>591</v>
      </c>
    </row>
    <row r="584" spans="1:16">
      <c r="C584" s="10"/>
    </row>
    <row r="585" spans="1:16" ht="15">
      <c r="B585" s="328"/>
      <c r="D585" s="2"/>
      <c r="E585" s="2"/>
      <c r="F585" s="2"/>
      <c r="G585" s="2"/>
      <c r="H585" s="2"/>
      <c r="I585" s="2"/>
      <c r="O585" t="s">
        <v>263</v>
      </c>
    </row>
    <row r="586" spans="1:16" ht="15">
      <c r="B586" s="335" t="s">
        <v>592</v>
      </c>
      <c r="C586" s="336"/>
      <c r="D586" s="337"/>
      <c r="E586" s="337"/>
      <c r="F586" s="337"/>
      <c r="G586" s="337"/>
      <c r="H586" s="337"/>
      <c r="I586" s="337"/>
      <c r="J586" s="336"/>
      <c r="K586" s="336"/>
      <c r="O586">
        <v>2022</v>
      </c>
      <c r="P586" s="105" t="s">
        <v>420</v>
      </c>
    </row>
    <row r="587" spans="1:16">
      <c r="O587">
        <v>2021</v>
      </c>
      <c r="P587" t="s">
        <v>420</v>
      </c>
    </row>
    <row r="588" spans="1:16" ht="15">
      <c r="B588" s="43" t="s">
        <v>593</v>
      </c>
      <c r="O588">
        <v>2020</v>
      </c>
      <c r="P588" s="105" t="s">
        <v>343</v>
      </c>
    </row>
    <row r="589" spans="1:16" ht="15">
      <c r="H589" s="323" t="s">
        <v>594</v>
      </c>
      <c r="I589" s="307"/>
      <c r="J589" s="307"/>
      <c r="K589" s="307"/>
      <c r="L589" s="307"/>
      <c r="M589" s="307"/>
      <c r="N589" s="306"/>
      <c r="O589">
        <v>2019</v>
      </c>
      <c r="P589" s="105" t="s">
        <v>595</v>
      </c>
    </row>
    <row r="590" spans="1:16">
      <c r="C590" s="293" t="s">
        <v>13</v>
      </c>
      <c r="D590" s="293" t="s">
        <v>14</v>
      </c>
      <c r="E590" s="293" t="s">
        <v>15</v>
      </c>
      <c r="F590" s="293" t="s">
        <v>16</v>
      </c>
      <c r="H590" s="457" t="s">
        <v>596</v>
      </c>
      <c r="I590" s="457" t="s">
        <v>17</v>
      </c>
      <c r="J590" s="457" t="s">
        <v>597</v>
      </c>
      <c r="K590" s="457" t="s">
        <v>598</v>
      </c>
      <c r="L590" s="458"/>
      <c r="M590" s="458"/>
      <c r="N590" s="306"/>
      <c r="O590">
        <v>2018</v>
      </c>
      <c r="P590" s="105" t="s">
        <v>599</v>
      </c>
    </row>
    <row r="591" spans="1:16" ht="84">
      <c r="B591" s="459" t="s">
        <v>600</v>
      </c>
      <c r="C591" s="460" t="s">
        <v>601</v>
      </c>
      <c r="D591" s="461" t="s">
        <v>602</v>
      </c>
      <c r="E591" s="460" t="s">
        <v>603</v>
      </c>
      <c r="F591" s="462" t="s">
        <v>604</v>
      </c>
      <c r="H591" s="463" t="s">
        <v>605</v>
      </c>
      <c r="I591" s="463" t="s">
        <v>606</v>
      </c>
      <c r="J591" s="461" t="s">
        <v>607</v>
      </c>
      <c r="K591" s="461" t="s">
        <v>608</v>
      </c>
      <c r="L591" s="461" t="s">
        <v>609</v>
      </c>
      <c r="M591" s="461" t="s">
        <v>610</v>
      </c>
      <c r="N591" s="306"/>
    </row>
    <row r="592" spans="1:16">
      <c r="B592" t="s">
        <v>334</v>
      </c>
      <c r="C592" s="410">
        <v>274</v>
      </c>
      <c r="D592" s="410">
        <v>940</v>
      </c>
      <c r="E592" s="410">
        <f t="shared" ref="E592:E598" si="49">SUM(C592:D592)</f>
        <v>1214</v>
      </c>
      <c r="F592">
        <v>1.8</v>
      </c>
      <c r="H592" s="350">
        <f t="shared" ref="H592:H597" si="50">E592/F592</f>
        <v>674.44444444444446</v>
      </c>
      <c r="I592" s="464">
        <v>0.3</v>
      </c>
      <c r="J592" s="350">
        <f t="shared" ref="J592:J598" si="51">C592*I592</f>
        <v>82.2</v>
      </c>
      <c r="K592" s="295">
        <f t="shared" ref="K592:K598" si="52">D592*I592</f>
        <v>282</v>
      </c>
      <c r="L592" s="465">
        <f t="shared" ref="L592:L598" si="53">J592+K592</f>
        <v>364.2</v>
      </c>
      <c r="M592" s="466">
        <f t="shared" ref="M592:M598" si="54">K592/K$13*M$13</f>
        <v>0</v>
      </c>
      <c r="N592" s="306"/>
      <c r="O592" s="306"/>
    </row>
    <row r="593" spans="2:15">
      <c r="B593" t="s">
        <v>611</v>
      </c>
      <c r="C593" s="410">
        <v>44803</v>
      </c>
      <c r="D593" s="410">
        <v>12158</v>
      </c>
      <c r="E593" s="410">
        <f t="shared" si="49"/>
        <v>56961</v>
      </c>
      <c r="F593">
        <v>17.2</v>
      </c>
      <c r="H593" s="350">
        <f t="shared" si="50"/>
        <v>3311.6860465116279</v>
      </c>
      <c r="I593" s="464">
        <v>0.36899999999999999</v>
      </c>
      <c r="J593" s="350">
        <f t="shared" si="51"/>
        <v>16532.307000000001</v>
      </c>
      <c r="K593" s="295">
        <f t="shared" si="52"/>
        <v>4486.3019999999997</v>
      </c>
      <c r="L593" s="465">
        <f t="shared" si="53"/>
        <v>21018.609</v>
      </c>
      <c r="M593" s="466">
        <f t="shared" si="54"/>
        <v>0</v>
      </c>
      <c r="N593" s="306"/>
      <c r="O593" s="306"/>
    </row>
    <row r="594" spans="2:15">
      <c r="B594" t="s">
        <v>5</v>
      </c>
      <c r="C594" s="410">
        <v>799</v>
      </c>
      <c r="D594" s="410">
        <v>4966</v>
      </c>
      <c r="E594" s="410">
        <f t="shared" si="49"/>
        <v>5765</v>
      </c>
      <c r="F594">
        <v>7.8</v>
      </c>
      <c r="H594" s="350">
        <f t="shared" si="50"/>
        <v>739.10256410256409</v>
      </c>
      <c r="I594" s="464">
        <v>0.443</v>
      </c>
      <c r="J594" s="350">
        <f t="shared" si="51"/>
        <v>353.95699999999999</v>
      </c>
      <c r="K594" s="295">
        <f t="shared" si="52"/>
        <v>2199.9380000000001</v>
      </c>
      <c r="L594" s="465">
        <f t="shared" si="53"/>
        <v>2553.895</v>
      </c>
      <c r="M594" s="466">
        <f t="shared" si="54"/>
        <v>0</v>
      </c>
      <c r="N594" s="306"/>
      <c r="O594" s="306"/>
    </row>
    <row r="595" spans="2:15">
      <c r="B595" t="s">
        <v>333</v>
      </c>
      <c r="C595" s="410">
        <v>205</v>
      </c>
      <c r="D595" s="410">
        <v>2594</v>
      </c>
      <c r="E595" s="410">
        <f t="shared" si="49"/>
        <v>2799</v>
      </c>
      <c r="F595">
        <v>3.8</v>
      </c>
      <c r="H595" s="350">
        <f t="shared" si="50"/>
        <v>736.57894736842104</v>
      </c>
      <c r="I595" s="464">
        <v>0.38</v>
      </c>
      <c r="J595" s="350">
        <f t="shared" si="51"/>
        <v>77.900000000000006</v>
      </c>
      <c r="K595" s="295">
        <f t="shared" si="52"/>
        <v>985.72</v>
      </c>
      <c r="L595" s="465">
        <f t="shared" si="53"/>
        <v>1063.6200000000001</v>
      </c>
      <c r="M595" s="466">
        <f t="shared" si="54"/>
        <v>0</v>
      </c>
      <c r="N595" s="306"/>
      <c r="O595" s="306"/>
    </row>
    <row r="596" spans="2:15">
      <c r="B596" t="s">
        <v>612</v>
      </c>
      <c r="C596" s="410">
        <v>148</v>
      </c>
      <c r="D596" s="410">
        <v>1535</v>
      </c>
      <c r="E596" s="410">
        <f t="shared" si="49"/>
        <v>1683</v>
      </c>
      <c r="F596">
        <v>2.4</v>
      </c>
      <c r="H596" s="350">
        <f t="shared" si="50"/>
        <v>701.25</v>
      </c>
      <c r="I596" s="464">
        <v>0.37</v>
      </c>
      <c r="J596" s="350">
        <f t="shared" si="51"/>
        <v>54.76</v>
      </c>
      <c r="K596" s="295">
        <f t="shared" si="52"/>
        <v>567.95000000000005</v>
      </c>
      <c r="L596" s="465">
        <f t="shared" si="53"/>
        <v>622.71</v>
      </c>
      <c r="M596" s="466">
        <f t="shared" si="54"/>
        <v>0</v>
      </c>
      <c r="N596" s="306"/>
      <c r="O596" s="306"/>
    </row>
    <row r="597" spans="2:15">
      <c r="B597" t="s">
        <v>332</v>
      </c>
      <c r="C597" s="410">
        <v>1662</v>
      </c>
      <c r="D597" s="410">
        <v>3837</v>
      </c>
      <c r="E597" s="410">
        <f t="shared" si="49"/>
        <v>5499</v>
      </c>
      <c r="F597" s="467">
        <v>7.9</v>
      </c>
      <c r="H597" s="350">
        <f t="shared" si="50"/>
        <v>696.07594936708858</v>
      </c>
      <c r="I597" s="464">
        <v>0.254</v>
      </c>
      <c r="J597" s="350">
        <f t="shared" si="51"/>
        <v>422.14800000000002</v>
      </c>
      <c r="K597" s="295">
        <f t="shared" si="52"/>
        <v>974.59800000000007</v>
      </c>
      <c r="L597" s="465">
        <f t="shared" si="53"/>
        <v>1396.7460000000001</v>
      </c>
      <c r="M597" s="466">
        <f t="shared" si="54"/>
        <v>0</v>
      </c>
      <c r="N597" s="306"/>
      <c r="O597" s="306"/>
    </row>
    <row r="598" spans="2:15">
      <c r="B598" t="s">
        <v>272</v>
      </c>
      <c r="C598" s="410">
        <v>1172</v>
      </c>
      <c r="D598" s="410">
        <v>7910</v>
      </c>
      <c r="E598" s="410">
        <f t="shared" si="49"/>
        <v>9082</v>
      </c>
      <c r="F598" s="467"/>
      <c r="H598" s="307"/>
      <c r="I598" s="464">
        <v>0.36</v>
      </c>
      <c r="J598" s="350">
        <f t="shared" si="51"/>
        <v>421.91999999999996</v>
      </c>
      <c r="K598" s="295">
        <f t="shared" si="52"/>
        <v>2847.6</v>
      </c>
      <c r="L598" s="465">
        <f t="shared" si="53"/>
        <v>3269.52</v>
      </c>
      <c r="M598" s="466">
        <f t="shared" si="54"/>
        <v>0</v>
      </c>
      <c r="N598" s="306"/>
      <c r="O598" s="306"/>
    </row>
    <row r="599" spans="2:15" ht="15">
      <c r="B599" s="43" t="s">
        <v>276</v>
      </c>
      <c r="C599" s="410">
        <f>SUM(C592:C598)</f>
        <v>49063</v>
      </c>
      <c r="D599" s="410">
        <f>SUM(D592:D598)</f>
        <v>33940</v>
      </c>
      <c r="E599" s="410">
        <f>SUM(E592:E598)</f>
        <v>83003</v>
      </c>
      <c r="H599" s="307"/>
      <c r="I599" s="307"/>
      <c r="J599" s="350">
        <f>SUM(J592:J598)</f>
        <v>17945.191999999999</v>
      </c>
      <c r="K599" s="350">
        <f>SUM(K592:K598)</f>
        <v>12344.108</v>
      </c>
      <c r="L599" s="350">
        <f>SUM(L592:L598)</f>
        <v>30289.3</v>
      </c>
      <c r="M599" s="350">
        <v>15063</v>
      </c>
      <c r="N599" s="306"/>
      <c r="O599" s="306"/>
    </row>
    <row r="600" spans="2:15" ht="15">
      <c r="B600" s="43" t="s">
        <v>613</v>
      </c>
      <c r="C600" s="2">
        <f>C599-C594-C593</f>
        <v>3461</v>
      </c>
      <c r="D600" s="2">
        <f>D599-D594-D593</f>
        <v>16816</v>
      </c>
      <c r="E600" s="2">
        <f>E599-E594-E593</f>
        <v>20277</v>
      </c>
      <c r="H600" s="307"/>
      <c r="I600" s="307"/>
      <c r="J600" s="307"/>
      <c r="K600" s="307"/>
      <c r="L600" s="307"/>
      <c r="M600" s="423">
        <f>K599/M599</f>
        <v>0.81949863904932618</v>
      </c>
      <c r="N600" s="306"/>
      <c r="O600" s="306"/>
    </row>
    <row r="601" spans="2:15">
      <c r="C601" s="332"/>
      <c r="F601" s="391"/>
      <c r="H601" s="307"/>
      <c r="I601" s="468">
        <f>1/I594</f>
        <v>2.2573363431151243</v>
      </c>
      <c r="J601" s="307"/>
      <c r="K601" s="307"/>
      <c r="L601" s="307"/>
      <c r="M601" s="307"/>
    </row>
    <row r="602" spans="2:15">
      <c r="B602" t="s">
        <v>614</v>
      </c>
      <c r="C602" s="332"/>
      <c r="F602" s="391"/>
      <c r="H602" s="307"/>
      <c r="I602" s="307"/>
      <c r="J602" s="307"/>
      <c r="K602" s="307"/>
      <c r="L602" s="307"/>
      <c r="M602" s="307"/>
    </row>
    <row r="603" spans="2:15">
      <c r="B603" t="s">
        <v>615</v>
      </c>
    </row>
    <row r="606" spans="2:15" ht="15">
      <c r="B606" s="43" t="s">
        <v>616</v>
      </c>
    </row>
    <row r="607" spans="2:15" ht="15">
      <c r="G607" s="323" t="s">
        <v>617</v>
      </c>
      <c r="I607" s="307"/>
      <c r="J607" s="307"/>
      <c r="K607" s="307"/>
      <c r="L607" s="307"/>
      <c r="M607" s="307"/>
    </row>
    <row r="608" spans="2:15">
      <c r="C608" s="293" t="s">
        <v>13</v>
      </c>
      <c r="D608" s="293" t="s">
        <v>14</v>
      </c>
      <c r="E608" s="293" t="s">
        <v>15</v>
      </c>
      <c r="G608" s="293" t="s">
        <v>16</v>
      </c>
      <c r="H608" s="457" t="s">
        <v>618</v>
      </c>
      <c r="I608" s="457"/>
      <c r="J608" s="457"/>
      <c r="K608" s="457"/>
      <c r="L608" s="458"/>
      <c r="M608" s="458"/>
    </row>
    <row r="609" spans="2:13" ht="60">
      <c r="B609" s="459" t="s">
        <v>600</v>
      </c>
      <c r="C609" s="460" t="s">
        <v>601</v>
      </c>
      <c r="D609" s="461" t="s">
        <v>619</v>
      </c>
      <c r="E609" s="460" t="s">
        <v>603</v>
      </c>
      <c r="G609" s="462" t="s">
        <v>620</v>
      </c>
      <c r="H609" s="463" t="s">
        <v>621</v>
      </c>
      <c r="I609" s="463"/>
      <c r="J609" s="461"/>
      <c r="K609" s="461"/>
      <c r="L609" s="461"/>
      <c r="M609" s="461"/>
    </row>
    <row r="610" spans="2:13">
      <c r="B610" t="s">
        <v>611</v>
      </c>
      <c r="C610" s="340">
        <v>44357</v>
      </c>
      <c r="D610" s="410">
        <v>12896</v>
      </c>
      <c r="E610" s="410">
        <f>SUM(C610:D610)</f>
        <v>57253</v>
      </c>
      <c r="G610" s="466">
        <v>4941</v>
      </c>
      <c r="H610" s="469">
        <f>D610/G610</f>
        <v>2.6099979761181946</v>
      </c>
      <c r="I610" s="464"/>
      <c r="J610" s="350"/>
      <c r="K610" s="470"/>
      <c r="L610" s="465"/>
      <c r="M610" s="466"/>
    </row>
    <row r="611" spans="2:13">
      <c r="B611" t="s">
        <v>5</v>
      </c>
      <c r="C611" s="340">
        <v>1929</v>
      </c>
      <c r="D611" s="410">
        <v>5489</v>
      </c>
      <c r="E611" s="410">
        <f>SUM(C611:D611)</f>
        <v>7418</v>
      </c>
      <c r="G611" s="466">
        <v>2103</v>
      </c>
      <c r="H611" s="469">
        <f>D611/G611</f>
        <v>2.6100808368996673</v>
      </c>
      <c r="I611" s="464"/>
      <c r="J611" s="295"/>
      <c r="K611" s="470"/>
      <c r="L611" s="465"/>
      <c r="M611" s="466"/>
    </row>
    <row r="612" spans="2:13">
      <c r="B612" t="s">
        <v>332</v>
      </c>
      <c r="C612" s="340">
        <v>1328</v>
      </c>
      <c r="D612" s="410">
        <v>2626</v>
      </c>
      <c r="E612" s="410">
        <f>SUM(C612:D612)</f>
        <v>3954</v>
      </c>
      <c r="G612" s="466">
        <v>1006</v>
      </c>
      <c r="H612" s="469">
        <f>D612/G612</f>
        <v>2.6103379721669979</v>
      </c>
      <c r="I612" s="464"/>
      <c r="J612" s="350"/>
      <c r="K612" s="470"/>
      <c r="L612" s="465"/>
      <c r="M612" s="466"/>
    </row>
    <row r="613" spans="2:13">
      <c r="B613" t="s">
        <v>272</v>
      </c>
      <c r="C613" s="410">
        <v>4722</v>
      </c>
      <c r="D613" s="410">
        <v>13332</v>
      </c>
      <c r="E613" s="410">
        <f>SUM(C613:D613)</f>
        <v>18054</v>
      </c>
      <c r="G613" s="466">
        <f>3491+599+1018</f>
        <v>5108</v>
      </c>
      <c r="H613" s="469">
        <f>D613/G613</f>
        <v>2.6100234925606891</v>
      </c>
      <c r="I613" s="464"/>
      <c r="J613" s="350"/>
      <c r="K613" s="470"/>
      <c r="L613" s="465"/>
      <c r="M613" s="466"/>
    </row>
    <row r="614" spans="2:13" ht="15">
      <c r="B614" s="43" t="s">
        <v>276</v>
      </c>
      <c r="C614" s="410">
        <f>SUM(C610:C613)</f>
        <v>52336</v>
      </c>
      <c r="D614" s="410">
        <f>SUM(D610:D613)</f>
        <v>34343</v>
      </c>
      <c r="E614" s="410">
        <f>SUM(E610:E613)</f>
        <v>86679</v>
      </c>
      <c r="G614" s="350">
        <f>SUM(G610:G613)</f>
        <v>13158</v>
      </c>
      <c r="H614" s="469">
        <f>D614/G614</f>
        <v>2.6100471196230428</v>
      </c>
      <c r="I614" s="307"/>
      <c r="J614" s="350"/>
      <c r="K614" s="350"/>
      <c r="L614" s="350"/>
      <c r="M614" s="350"/>
    </row>
    <row r="615" spans="2:13" ht="15">
      <c r="B615" s="43"/>
      <c r="E615" s="2"/>
      <c r="H615" s="307"/>
      <c r="I615" s="307"/>
      <c r="J615" s="307"/>
      <c r="K615" s="307"/>
      <c r="L615" s="307"/>
      <c r="M615" s="423"/>
    </row>
    <row r="616" spans="2:13">
      <c r="B616" t="s">
        <v>622</v>
      </c>
      <c r="C616" s="332"/>
      <c r="D616" s="332"/>
      <c r="E616" s="102"/>
      <c r="F616" s="391"/>
      <c r="H616" s="307"/>
      <c r="I616" s="307"/>
      <c r="J616" s="307"/>
      <c r="K616" s="307"/>
      <c r="L616" s="307"/>
      <c r="M616" s="307"/>
    </row>
    <row r="617" spans="2:13">
      <c r="C617" s="332"/>
      <c r="F617" s="391"/>
      <c r="H617" s="307"/>
      <c r="I617" s="307"/>
      <c r="J617" s="307"/>
      <c r="K617" s="307"/>
      <c r="L617" s="307"/>
      <c r="M617" s="307"/>
    </row>
  </sheetData>
  <phoneticPr fontId="24" type="noConversion"/>
  <conditionalFormatting sqref="C8:H16 F18">
    <cfRule type="cellIs" dxfId="4" priority="2" operator="greaterThan">
      <formula>#REF!</formula>
    </cfRule>
  </conditionalFormatting>
  <conditionalFormatting sqref="H17">
    <cfRule type="cellIs" dxfId="3" priority="3" operator="greaterThan">
      <formula>#REF!</formula>
    </cfRule>
  </conditionalFormatting>
  <conditionalFormatting sqref="J8:J15">
    <cfRule type="cellIs" dxfId="2" priority="4" operator="greaterThan">
      <formula>#REF!</formula>
    </cfRule>
  </conditionalFormatting>
  <conditionalFormatting sqref="J104">
    <cfRule type="cellIs" dxfId="1" priority="1" operator="between">
      <formula>1</formula>
      <formula>9</formula>
    </cfRule>
  </conditionalFormatting>
  <hyperlinks>
    <hyperlink ref="O119" r:id="rId1" xr:uid="{6811CBCA-1294-460C-9FB1-1F48E2E36181}"/>
    <hyperlink ref="O113" r:id="rId2" display="https://travel.state.gov/content/dam/visas/Statistics/Immigrant-Statistics/WaitingListItem.pdf" xr:uid="{46C8A604-ED47-44DD-9D5A-F58C29313A4A}"/>
    <hyperlink ref="O114" r:id="rId3" xr:uid="{2D6647C6-14C3-4898-9EA9-BC57B4CD5D87}"/>
    <hyperlink ref="O115" r:id="rId4" xr:uid="{2BBCB1C3-57C2-401D-8740-134004C13A59}"/>
    <hyperlink ref="O116" r:id="rId5" xr:uid="{6CA44867-F712-4C85-9BE1-79B75166D153}"/>
    <hyperlink ref="O117" r:id="rId6" xr:uid="{814E26C7-5A99-45E4-BEEC-70E55BE9962A}"/>
    <hyperlink ref="O118" r:id="rId7" xr:uid="{E5917663-5839-4A16-BB6A-E3966BD8ED41}"/>
    <hyperlink ref="O88" r:id="rId8" xr:uid="{D60E12BA-6DA8-49CF-9A0E-DFC106CCDA76}"/>
    <hyperlink ref="O175" r:id="rId9" tooltip="I-485_inventory_as_of_October_2019.pdf" display="https://www.uscis.gov/sites/default/files/document/foia/I-485_inventory_as_of_October_2019.pdf" xr:uid="{DC98069F-986C-4DF9-9C62-0A6AFD6FF234}"/>
    <hyperlink ref="O306" r:id="rId10" xr:uid="{C3EE69B7-FD51-49C7-8A93-31EDAD64F378}"/>
    <hyperlink ref="N73" r:id="rId11" xr:uid="{36A09F95-05B1-4BDE-A76B-DC603C72D802}"/>
    <hyperlink ref="K349" r:id="rId12" xr:uid="{81D3E797-3285-4CC9-99C9-10B3F736B9E5}"/>
    <hyperlink ref="O120" r:id="rId13" xr:uid="{6F3D04AD-585D-44DF-9BB4-2F5AEBD3C18C}"/>
    <hyperlink ref="O121" r:id="rId14" xr:uid="{042A231E-A104-46E4-95B2-F0802A6376DC}"/>
    <hyperlink ref="O283" r:id="rId15" xr:uid="{75199A3F-8493-4C9F-A872-E2983777003D}"/>
    <hyperlink ref="O186" r:id="rId16" xr:uid="{15AE4279-8294-4FBD-A60E-46B6BF7B6E1D}"/>
    <hyperlink ref="P588" r:id="rId17" xr:uid="{2AA6FF89-777A-483A-965D-469754E3143D}"/>
    <hyperlink ref="P590" r:id="rId18" xr:uid="{2727096F-7CF8-4427-B7F8-6F5FCC8D0BEB}"/>
    <hyperlink ref="P589" r:id="rId19" xr:uid="{3375B627-A2E4-4FE9-BE54-AC6E0F4153DF}"/>
    <hyperlink ref="P586" r:id="rId20" xr:uid="{B10E5502-3CDE-42CA-98B1-F9E15BEF6D27}"/>
    <hyperlink ref="O255" r:id="rId21" xr:uid="{F26DE329-D6AD-46E4-9B6D-D2ACBC5F236C}"/>
    <hyperlink ref="O262" r:id="rId22" xr:uid="{68F9178F-9C24-4388-84C5-59711C29EA4F}"/>
    <hyperlink ref="O187" r:id="rId23" xr:uid="{4591DDE9-D5D8-4AEA-91A0-BF35D883BD76}"/>
    <hyperlink ref="M149" r:id="rId24" xr:uid="{2FD4669E-4EB7-4124-AA73-B29799B6BDDB}"/>
    <hyperlink ref="O122" r:id="rId25" xr:uid="{42E6EC0B-4C99-415A-B21B-893FFEEE002D}"/>
    <hyperlink ref="O123" r:id="rId26" xr:uid="{AB8B7194-A131-4E66-A905-F66EB259DE75}"/>
    <hyperlink ref="N9" r:id="rId27" xr:uid="{DB577764-6377-463B-AED3-1C8691B0EADD}"/>
    <hyperlink ref="N13" r:id="rId28" xr:uid="{949D4E0C-9F44-4A21-AC32-F65CF5F75FA0}"/>
    <hyperlink ref="N12" r:id="rId29" xr:uid="{6F1AD3CF-C7F2-41CD-A94D-F146C0B479B5}"/>
    <hyperlink ref="N10" r:id="rId30" xr:uid="{C0388E24-FB48-4C72-BE27-C9E99CE34319}"/>
    <hyperlink ref="N11" r:id="rId31" xr:uid="{7E467EA8-6DF0-488F-A61F-3617D6BF46D3}"/>
    <hyperlink ref="N8" r:id="rId32" xr:uid="{81175FD3-9C11-4E55-9FD2-0158FF805A05}"/>
    <hyperlink ref="O17" r:id="rId33" xr:uid="{9817F541-3EC9-4BE7-9196-BC77F5A37D0C}"/>
    <hyperlink ref="O223" r:id="rId34" xr:uid="{8BF39580-4BCB-4740-A4D5-69B9775D6692}"/>
    <hyperlink ref="O263" r:id="rId35" xr:uid="{82344021-623D-4673-9D79-A8BC253FC183}"/>
    <hyperlink ref="O226" r:id="rId36" xr:uid="{DA7FD7DE-9C58-49FA-A943-D1AA3B1003FB}"/>
    <hyperlink ref="P132" r:id="rId37" xr:uid="{F0FE7F32-E28D-4A35-8E02-D75B9E003495}"/>
    <hyperlink ref="P133" r:id="rId38" xr:uid="{49168E9A-986E-4856-B00D-874659E8384E}"/>
    <hyperlink ref="L41" r:id="rId39" xr:uid="{9A8BFAB4-10E6-44E7-A100-2C4993027247}"/>
    <hyperlink ref="O185" r:id="rId40" xr:uid="{A31AE6BF-85DF-4C5D-87C5-DECEF44022ED}"/>
    <hyperlink ref="O214" r:id="rId41" xr:uid="{517F46A2-6F68-487D-AC81-933601B9E5F1}"/>
  </hyperlinks>
  <pageMargins left="0.7" right="0.7" top="0.75" bottom="0.75" header="0.3" footer="0.3"/>
  <pageSetup orientation="portrait" horizontalDpi="4294967293" verticalDpi="1200" r:id="rId42"/>
  <drawing r:id="rId4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FCF93-88AD-4355-AF81-36992E8E975B}">
  <dimension ref="A1:P156"/>
  <sheetViews>
    <sheetView topLeftCell="A136" workbookViewId="0">
      <selection activeCell="E154" sqref="E154"/>
    </sheetView>
  </sheetViews>
  <sheetFormatPr defaultRowHeight="14.25"/>
  <cols>
    <col min="1" max="1" width="3.75" customWidth="1"/>
    <col min="2" max="2" width="14.375" style="293" customWidth="1"/>
    <col min="3" max="3" width="11.625" customWidth="1"/>
    <col min="4" max="4" width="10.875" customWidth="1"/>
    <col min="5" max="5" width="11.875" customWidth="1"/>
    <col min="6" max="6" width="11.5" style="293" customWidth="1"/>
    <col min="7" max="7" width="12.875" customWidth="1"/>
    <col min="8" max="8" width="9.875" style="293" bestFit="1" customWidth="1"/>
    <col min="9" max="9" width="12.25" style="293" customWidth="1"/>
    <col min="10" max="10" width="11.125" customWidth="1"/>
    <col min="11" max="11" width="13.375" customWidth="1"/>
    <col min="12" max="12" width="8.25" bestFit="1" customWidth="1"/>
    <col min="13" max="13" width="10" bestFit="1" customWidth="1"/>
    <col min="14" max="14" width="22.125" customWidth="1"/>
    <col min="15" max="15" width="15.375" customWidth="1"/>
    <col min="16" max="16" width="15.375" style="293" customWidth="1"/>
  </cols>
  <sheetData>
    <row r="1" spans="1:10" ht="23.25">
      <c r="B1" s="471" t="s">
        <v>623</v>
      </c>
    </row>
    <row r="2" spans="1:10" ht="15" customHeight="1">
      <c r="B2" s="129" t="s">
        <v>624</v>
      </c>
    </row>
    <row r="3" spans="1:10" ht="15" customHeight="1"/>
    <row r="4" spans="1:10">
      <c r="B4" s="293" t="s">
        <v>625</v>
      </c>
      <c r="C4" s="105" t="s">
        <v>626</v>
      </c>
    </row>
    <row r="5" spans="1:10">
      <c r="B5" s="293" t="s">
        <v>627</v>
      </c>
      <c r="C5" t="s">
        <v>628</v>
      </c>
    </row>
    <row r="6" spans="1:10" ht="15">
      <c r="B6" s="124"/>
      <c r="F6"/>
    </row>
    <row r="7" spans="1:10" ht="15.75" thickBot="1">
      <c r="A7" t="s">
        <v>36</v>
      </c>
      <c r="B7" s="472" t="s">
        <v>629</v>
      </c>
      <c r="C7" s="451"/>
      <c r="D7" s="451"/>
      <c r="E7" s="451"/>
      <c r="F7" s="473"/>
      <c r="G7" s="451"/>
      <c r="H7" s="473"/>
      <c r="I7" s="473"/>
      <c r="J7" s="451"/>
    </row>
    <row r="8" spans="1:10" ht="14.45" customHeight="1">
      <c r="B8" s="898" t="s">
        <v>549</v>
      </c>
      <c r="C8" s="43" t="s">
        <v>4</v>
      </c>
      <c r="D8" s="43"/>
      <c r="E8" s="43" t="s">
        <v>332</v>
      </c>
      <c r="F8" s="124"/>
      <c r="G8" s="43"/>
      <c r="I8" s="899" t="s">
        <v>630</v>
      </c>
      <c r="J8" s="898"/>
    </row>
    <row r="9" spans="1:10">
      <c r="B9" s="898"/>
      <c r="C9" t="s">
        <v>38</v>
      </c>
      <c r="D9" t="s">
        <v>39</v>
      </c>
      <c r="E9" t="s">
        <v>38</v>
      </c>
      <c r="F9" s="293" t="s">
        <v>39</v>
      </c>
      <c r="I9" s="899"/>
      <c r="J9" s="898"/>
    </row>
    <row r="10" spans="1:10">
      <c r="B10" s="475">
        <v>41244</v>
      </c>
      <c r="I10" s="129" t="s">
        <v>631</v>
      </c>
      <c r="J10" s="474"/>
    </row>
    <row r="11" spans="1:10">
      <c r="B11" s="476">
        <v>41699</v>
      </c>
      <c r="I11" s="129" t="s">
        <v>677</v>
      </c>
      <c r="J11" s="474"/>
    </row>
    <row r="12" spans="1:10">
      <c r="B12" s="476">
        <v>42036</v>
      </c>
      <c r="I12" s="129" t="s">
        <v>1014</v>
      </c>
      <c r="J12" s="474"/>
    </row>
    <row r="13" spans="1:10">
      <c r="B13" s="476">
        <v>42095</v>
      </c>
      <c r="I13" s="129" t="s">
        <v>1013</v>
      </c>
      <c r="J13" s="474"/>
    </row>
    <row r="14" spans="1:10">
      <c r="B14" s="477">
        <v>42125</v>
      </c>
      <c r="C14" s="10">
        <v>41395</v>
      </c>
    </row>
    <row r="15" spans="1:10">
      <c r="B15" s="477">
        <v>42156</v>
      </c>
      <c r="C15" s="10">
        <v>41395</v>
      </c>
      <c r="I15" s="474"/>
    </row>
    <row r="16" spans="1:10">
      <c r="B16" s="477">
        <v>42186</v>
      </c>
      <c r="C16" s="10">
        <v>41518</v>
      </c>
      <c r="I16" s="474"/>
    </row>
    <row r="17" spans="2:9">
      <c r="B17" s="477">
        <v>42217</v>
      </c>
      <c r="C17" s="10">
        <v>41518</v>
      </c>
      <c r="I17" s="474"/>
    </row>
    <row r="18" spans="2:9">
      <c r="B18" s="477">
        <v>42248</v>
      </c>
      <c r="C18" s="10">
        <v>41539</v>
      </c>
      <c r="I18" s="474"/>
    </row>
    <row r="19" spans="2:9">
      <c r="B19" s="477">
        <v>42278</v>
      </c>
      <c r="C19" s="10">
        <v>41555</v>
      </c>
      <c r="D19" s="293"/>
      <c r="I19" s="474"/>
    </row>
    <row r="20" spans="2:9">
      <c r="B20" s="477">
        <v>42309</v>
      </c>
      <c r="C20" s="10">
        <v>41600</v>
      </c>
      <c r="D20" s="293"/>
      <c r="I20" s="474"/>
    </row>
    <row r="21" spans="2:9">
      <c r="B21" s="477">
        <v>42339</v>
      </c>
      <c r="C21" s="10">
        <v>41623</v>
      </c>
      <c r="D21" s="293"/>
      <c r="I21" s="474"/>
    </row>
    <row r="22" spans="2:9" ht="14.25" customHeight="1">
      <c r="B22" s="477">
        <v>42370</v>
      </c>
      <c r="C22" s="10">
        <v>41647</v>
      </c>
      <c r="D22" s="293"/>
      <c r="I22" s="474"/>
    </row>
    <row r="23" spans="2:9">
      <c r="B23" s="477">
        <v>42401</v>
      </c>
      <c r="C23" s="10">
        <v>41654</v>
      </c>
      <c r="D23" s="293"/>
      <c r="I23" s="474"/>
    </row>
    <row r="24" spans="2:9">
      <c r="B24" s="477">
        <v>42430</v>
      </c>
      <c r="C24" s="10">
        <v>41661</v>
      </c>
      <c r="D24" s="293"/>
      <c r="I24" s="474"/>
    </row>
    <row r="25" spans="2:9">
      <c r="B25" s="477">
        <v>42461</v>
      </c>
      <c r="C25" s="10">
        <v>41671</v>
      </c>
      <c r="D25" s="293"/>
      <c r="I25" s="474"/>
    </row>
    <row r="26" spans="2:9">
      <c r="B26" s="477">
        <v>42491</v>
      </c>
      <c r="C26" s="10">
        <v>41678</v>
      </c>
      <c r="D26" s="293"/>
      <c r="I26" s="474"/>
    </row>
    <row r="27" spans="2:9">
      <c r="B27" s="477">
        <v>42522</v>
      </c>
      <c r="C27" s="10">
        <v>41685</v>
      </c>
      <c r="D27" s="293"/>
      <c r="I27" s="474"/>
    </row>
    <row r="28" spans="2:9">
      <c r="B28" s="477">
        <v>42552</v>
      </c>
      <c r="C28" s="10">
        <v>41685</v>
      </c>
      <c r="D28" s="293"/>
      <c r="I28" s="474"/>
    </row>
    <row r="29" spans="2:9">
      <c r="B29" s="477">
        <v>42583</v>
      </c>
      <c r="C29" s="10">
        <v>41685</v>
      </c>
      <c r="D29" s="293"/>
      <c r="I29" s="474"/>
    </row>
    <row r="30" spans="2:9">
      <c r="B30" s="477">
        <v>42614</v>
      </c>
      <c r="C30" s="10">
        <v>41685</v>
      </c>
      <c r="D30" s="411"/>
      <c r="I30" s="474"/>
    </row>
    <row r="31" spans="2:9">
      <c r="B31" s="477">
        <v>42644</v>
      </c>
      <c r="C31" s="10">
        <v>41692</v>
      </c>
      <c r="D31" s="293"/>
      <c r="I31" s="474"/>
    </row>
    <row r="32" spans="2:9">
      <c r="B32" s="477">
        <v>42675</v>
      </c>
      <c r="C32" s="10">
        <v>41706</v>
      </c>
      <c r="D32" s="293"/>
      <c r="I32" s="474"/>
    </row>
    <row r="33" spans="2:10">
      <c r="B33" s="477">
        <v>42705</v>
      </c>
      <c r="C33" s="10">
        <v>41720</v>
      </c>
      <c r="D33" s="293"/>
      <c r="I33" s="474"/>
    </row>
    <row r="34" spans="2:10">
      <c r="B34" s="477">
        <v>42736</v>
      </c>
      <c r="C34" s="10">
        <v>41737</v>
      </c>
      <c r="D34" s="293"/>
      <c r="I34" s="474"/>
    </row>
    <row r="35" spans="2:10">
      <c r="B35" s="477">
        <v>42767</v>
      </c>
      <c r="C35" s="10">
        <v>41744</v>
      </c>
      <c r="D35" s="293"/>
      <c r="I35" s="474"/>
    </row>
    <row r="36" spans="2:10">
      <c r="B36" s="477">
        <v>42795</v>
      </c>
      <c r="C36" s="10">
        <v>41760</v>
      </c>
      <c r="D36" s="293"/>
      <c r="I36" s="474"/>
    </row>
    <row r="37" spans="2:10">
      <c r="B37" s="477">
        <v>42826</v>
      </c>
      <c r="C37" s="10">
        <v>41781</v>
      </c>
      <c r="D37" s="293"/>
      <c r="I37" s="474"/>
    </row>
    <row r="38" spans="2:10">
      <c r="B38" s="477">
        <v>42856</v>
      </c>
      <c r="C38" s="10">
        <v>41791</v>
      </c>
      <c r="D38" s="293"/>
      <c r="I38" s="474"/>
    </row>
    <row r="39" spans="2:10">
      <c r="B39" s="477">
        <v>42887</v>
      </c>
      <c r="C39" s="10">
        <v>41798</v>
      </c>
      <c r="D39" s="293"/>
      <c r="I39" s="474"/>
    </row>
    <row r="40" spans="2:10">
      <c r="B40" s="477">
        <v>42917</v>
      </c>
      <c r="C40" s="10">
        <v>41798</v>
      </c>
      <c r="D40" s="293"/>
      <c r="I40" s="474"/>
    </row>
    <row r="41" spans="2:10">
      <c r="B41" s="478">
        <v>42948</v>
      </c>
      <c r="C41" s="405">
        <v>41805</v>
      </c>
      <c r="D41" s="407"/>
      <c r="I41" s="474"/>
    </row>
    <row r="42" spans="2:10">
      <c r="B42" s="477">
        <v>42979</v>
      </c>
      <c r="C42" s="10">
        <v>41805</v>
      </c>
      <c r="D42" s="293"/>
      <c r="I42" s="474"/>
      <c r="J42" s="548"/>
    </row>
    <row r="43" spans="2:10">
      <c r="B43" s="477">
        <v>43009</v>
      </c>
      <c r="C43" s="10">
        <v>41812</v>
      </c>
      <c r="D43" s="293"/>
      <c r="I43" s="474"/>
    </row>
    <row r="44" spans="2:10">
      <c r="B44" s="477">
        <v>43040</v>
      </c>
      <c r="C44" s="10">
        <v>41821</v>
      </c>
      <c r="D44" s="293"/>
      <c r="I44" s="474"/>
      <c r="J44" s="548"/>
    </row>
    <row r="45" spans="2:10">
      <c r="B45" s="477">
        <v>43070</v>
      </c>
      <c r="C45" s="10">
        <v>41835</v>
      </c>
      <c r="D45" s="293"/>
      <c r="I45" s="474"/>
    </row>
    <row r="46" spans="2:10">
      <c r="B46" s="477">
        <v>43101</v>
      </c>
      <c r="C46" s="10">
        <v>41842</v>
      </c>
      <c r="D46" s="10">
        <v>41913</v>
      </c>
      <c r="E46" s="10"/>
      <c r="F46" s="411"/>
      <c r="G46" s="10"/>
      <c r="H46" s="411"/>
    </row>
    <row r="47" spans="2:10">
      <c r="B47" s="477">
        <v>43132</v>
      </c>
      <c r="C47" s="10">
        <v>41842</v>
      </c>
      <c r="D47" s="10">
        <v>41883</v>
      </c>
      <c r="E47" s="10"/>
      <c r="F47" s="411"/>
      <c r="G47" s="10"/>
      <c r="H47" s="411"/>
      <c r="J47" s="427" t="s">
        <v>709</v>
      </c>
    </row>
    <row r="48" spans="2:10">
      <c r="B48" s="477">
        <v>43160</v>
      </c>
      <c r="C48" s="10">
        <v>41842</v>
      </c>
      <c r="D48" s="10">
        <v>41883</v>
      </c>
      <c r="E48" s="10"/>
      <c r="F48" s="411"/>
      <c r="G48" s="10"/>
      <c r="H48" s="411"/>
      <c r="J48" s="159" t="s">
        <v>708</v>
      </c>
    </row>
    <row r="49" spans="2:10">
      <c r="B49" s="477">
        <v>43191</v>
      </c>
      <c r="C49" s="10">
        <v>41842</v>
      </c>
      <c r="D49" s="10">
        <v>41883</v>
      </c>
      <c r="E49" s="10"/>
      <c r="F49" s="411"/>
      <c r="G49" s="10"/>
      <c r="H49" s="411"/>
      <c r="J49" s="159" t="s">
        <v>707</v>
      </c>
    </row>
    <row r="50" spans="2:10">
      <c r="B50" s="477">
        <v>43221</v>
      </c>
      <c r="C50" s="10">
        <v>41842</v>
      </c>
      <c r="D50" s="10">
        <v>41883</v>
      </c>
      <c r="E50" s="10">
        <v>41842</v>
      </c>
      <c r="F50" s="411"/>
      <c r="G50" s="10"/>
      <c r="H50" s="411"/>
    </row>
    <row r="51" spans="2:10">
      <c r="B51" s="477">
        <v>43252</v>
      </c>
      <c r="C51" s="10">
        <v>41852</v>
      </c>
      <c r="D51" s="10">
        <v>41883</v>
      </c>
      <c r="E51" s="10">
        <v>41852</v>
      </c>
      <c r="F51" s="411"/>
      <c r="G51" s="10"/>
      <c r="H51" s="411"/>
    </row>
    <row r="52" spans="2:10">
      <c r="B52" s="477">
        <v>43282</v>
      </c>
      <c r="C52" s="10">
        <v>41852</v>
      </c>
      <c r="D52" s="10">
        <v>41913</v>
      </c>
      <c r="E52" s="10">
        <v>41852</v>
      </c>
      <c r="F52" s="411"/>
      <c r="G52" s="10"/>
      <c r="H52" s="411"/>
    </row>
    <row r="53" spans="2:10">
      <c r="B53" s="477">
        <v>43313</v>
      </c>
      <c r="C53" s="10">
        <v>41852</v>
      </c>
      <c r="D53" s="10">
        <v>41913</v>
      </c>
      <c r="E53" s="10">
        <v>41852</v>
      </c>
      <c r="F53" s="411"/>
      <c r="G53" s="10"/>
      <c r="H53" s="411"/>
    </row>
    <row r="54" spans="2:10">
      <c r="B54" s="477">
        <v>43344</v>
      </c>
      <c r="C54" s="10">
        <v>41859</v>
      </c>
      <c r="D54" s="10">
        <v>41913</v>
      </c>
      <c r="E54" s="10">
        <v>41859</v>
      </c>
      <c r="F54" s="411"/>
      <c r="G54" s="10"/>
      <c r="H54" s="411"/>
    </row>
    <row r="55" spans="2:10">
      <c r="B55" s="477">
        <v>43374</v>
      </c>
      <c r="C55" s="10">
        <v>41866</v>
      </c>
      <c r="D55" s="10">
        <v>41913</v>
      </c>
      <c r="E55" s="10">
        <v>42370</v>
      </c>
      <c r="F55" s="411"/>
      <c r="G55" s="10"/>
      <c r="H55" s="411"/>
    </row>
    <row r="56" spans="2:10">
      <c r="B56" s="477">
        <v>43405</v>
      </c>
      <c r="C56" s="10">
        <v>41866</v>
      </c>
      <c r="D56" s="10">
        <v>41913</v>
      </c>
      <c r="E56" s="10">
        <v>42401</v>
      </c>
      <c r="F56" s="411"/>
      <c r="G56" s="10"/>
      <c r="H56" s="411"/>
    </row>
    <row r="57" spans="2:10">
      <c r="B57" s="477">
        <v>43435</v>
      </c>
      <c r="C57" s="10">
        <v>41873</v>
      </c>
      <c r="D57" s="10">
        <v>41913</v>
      </c>
      <c r="E57" s="10">
        <v>42491</v>
      </c>
      <c r="F57" s="411"/>
      <c r="G57" s="10"/>
      <c r="H57" s="411"/>
    </row>
    <row r="58" spans="2:10">
      <c r="B58" s="477">
        <v>43466</v>
      </c>
      <c r="C58" s="10">
        <v>41883</v>
      </c>
      <c r="D58" s="10">
        <v>41913</v>
      </c>
      <c r="E58" s="10">
        <v>42522</v>
      </c>
      <c r="F58" s="411"/>
      <c r="G58" s="10"/>
      <c r="H58" s="411"/>
    </row>
    <row r="59" spans="2:10">
      <c r="B59" s="477">
        <v>43497</v>
      </c>
      <c r="C59" s="10">
        <v>41883</v>
      </c>
      <c r="D59" s="10">
        <v>41913</v>
      </c>
      <c r="E59" s="10">
        <v>42536</v>
      </c>
      <c r="F59" s="411"/>
      <c r="G59" s="10"/>
      <c r="H59" s="411"/>
      <c r="J59" t="s">
        <v>1015</v>
      </c>
    </row>
    <row r="60" spans="2:10">
      <c r="B60" s="477">
        <v>43525</v>
      </c>
      <c r="C60" s="10">
        <v>41890</v>
      </c>
      <c r="D60" s="10">
        <v>41913</v>
      </c>
      <c r="E60" s="10">
        <v>42566</v>
      </c>
      <c r="F60" s="411"/>
      <c r="G60" s="10"/>
      <c r="H60" s="411"/>
    </row>
    <row r="61" spans="2:10">
      <c r="B61" s="477">
        <v>43556</v>
      </c>
      <c r="C61" s="10">
        <v>41897</v>
      </c>
      <c r="D61" s="10">
        <v>41920</v>
      </c>
      <c r="E61" s="10">
        <v>42604</v>
      </c>
      <c r="F61" s="411"/>
      <c r="G61" s="10"/>
      <c r="H61" s="411"/>
    </row>
    <row r="62" spans="2:10">
      <c r="B62" s="477">
        <v>43586</v>
      </c>
      <c r="C62" s="10">
        <v>41904</v>
      </c>
      <c r="D62" s="10">
        <v>41927</v>
      </c>
      <c r="E62" s="10">
        <v>42635</v>
      </c>
      <c r="F62" s="411"/>
      <c r="G62" s="10"/>
      <c r="H62" s="411"/>
    </row>
    <row r="63" spans="2:10">
      <c r="B63" s="477">
        <v>43617</v>
      </c>
      <c r="C63" s="10">
        <v>41913</v>
      </c>
      <c r="D63" s="10">
        <v>41944</v>
      </c>
      <c r="E63" s="10">
        <v>42644</v>
      </c>
      <c r="F63" s="411"/>
      <c r="G63" s="10"/>
      <c r="H63" s="411"/>
      <c r="J63" t="s">
        <v>1016</v>
      </c>
    </row>
    <row r="64" spans="2:10" ht="15" customHeight="1" thickBot="1">
      <c r="B64" s="479"/>
      <c r="C64" s="480"/>
      <c r="D64" s="480"/>
      <c r="E64" s="480"/>
      <c r="F64" s="479"/>
      <c r="G64" s="480"/>
      <c r="H64" s="479"/>
      <c r="I64" s="473"/>
      <c r="J64" s="451"/>
    </row>
    <row r="65" spans="1:14" ht="15" customHeight="1">
      <c r="A65" t="s">
        <v>36</v>
      </c>
      <c r="B65" s="898" t="s">
        <v>549</v>
      </c>
      <c r="C65" s="43" t="s">
        <v>4</v>
      </c>
      <c r="D65" s="43"/>
      <c r="E65" s="43" t="s">
        <v>332</v>
      </c>
      <c r="F65" s="124"/>
      <c r="G65" s="43" t="s">
        <v>5</v>
      </c>
      <c r="I65" s="898" t="s">
        <v>632</v>
      </c>
      <c r="J65" s="900" t="s">
        <v>630</v>
      </c>
    </row>
    <row r="66" spans="1:14">
      <c r="B66" s="898"/>
      <c r="C66" t="s">
        <v>38</v>
      </c>
      <c r="D66" t="s">
        <v>39</v>
      </c>
      <c r="E66" t="s">
        <v>38</v>
      </c>
      <c r="F66" s="293" t="s">
        <v>39</v>
      </c>
      <c r="G66" t="s">
        <v>38</v>
      </c>
      <c r="H66" s="293" t="s">
        <v>39</v>
      </c>
      <c r="I66" s="898"/>
      <c r="J66" s="898"/>
    </row>
    <row r="67" spans="1:14">
      <c r="B67" s="477">
        <v>43647</v>
      </c>
      <c r="C67" s="10">
        <v>41913</v>
      </c>
      <c r="D67" s="10">
        <v>41944</v>
      </c>
      <c r="E67" s="10">
        <v>42644</v>
      </c>
      <c r="F67" s="411" t="s">
        <v>15</v>
      </c>
      <c r="G67" s="10">
        <v>42856</v>
      </c>
      <c r="H67" s="411" t="s">
        <v>15</v>
      </c>
      <c r="I67" s="293" t="s">
        <v>38</v>
      </c>
    </row>
    <row r="68" spans="1:14">
      <c r="B68" s="477">
        <v>43678</v>
      </c>
      <c r="C68" s="10">
        <v>41927</v>
      </c>
      <c r="D68" s="10">
        <v>41958</v>
      </c>
      <c r="E68" s="10">
        <v>41927</v>
      </c>
      <c r="F68" s="411" t="s">
        <v>15</v>
      </c>
      <c r="G68" s="10">
        <v>41927</v>
      </c>
      <c r="H68" s="411" t="s">
        <v>15</v>
      </c>
      <c r="I68" s="293" t="s">
        <v>38</v>
      </c>
    </row>
    <row r="69" spans="1:14">
      <c r="B69" s="477">
        <v>43709</v>
      </c>
      <c r="C69" s="10">
        <v>41934</v>
      </c>
      <c r="D69" s="10">
        <v>41965</v>
      </c>
      <c r="E69" s="10">
        <v>41934</v>
      </c>
      <c r="F69" s="411" t="s">
        <v>15</v>
      </c>
      <c r="G69" s="10">
        <v>42979</v>
      </c>
      <c r="H69" s="411" t="s">
        <v>15</v>
      </c>
      <c r="I69" s="293" t="s">
        <v>38</v>
      </c>
    </row>
    <row r="70" spans="1:14">
      <c r="B70" s="481">
        <v>43739</v>
      </c>
      <c r="C70" s="482">
        <v>41934</v>
      </c>
      <c r="D70" s="482">
        <v>42005</v>
      </c>
      <c r="E70" s="482">
        <v>42658</v>
      </c>
      <c r="F70" s="483" t="s">
        <v>15</v>
      </c>
      <c r="G70" s="482">
        <v>43061</v>
      </c>
      <c r="H70" s="483" t="s">
        <v>15</v>
      </c>
      <c r="I70" s="484" t="s">
        <v>39</v>
      </c>
    </row>
    <row r="71" spans="1:14" s="307" customFormat="1">
      <c r="B71" s="478">
        <v>43770</v>
      </c>
      <c r="C71" s="405">
        <v>41944</v>
      </c>
      <c r="D71" s="405">
        <v>42005</v>
      </c>
      <c r="E71" s="405">
        <v>42689</v>
      </c>
      <c r="F71" s="485" t="s">
        <v>15</v>
      </c>
      <c r="G71" s="405">
        <v>43077</v>
      </c>
      <c r="H71" s="485" t="s">
        <v>15</v>
      </c>
      <c r="I71" s="407" t="s">
        <v>39</v>
      </c>
    </row>
    <row r="72" spans="1:14">
      <c r="B72" s="477">
        <v>43800</v>
      </c>
      <c r="C72" s="10">
        <v>41958</v>
      </c>
      <c r="D72" s="10">
        <v>42005</v>
      </c>
      <c r="E72" s="10">
        <v>42705</v>
      </c>
      <c r="F72" s="411" t="s">
        <v>15</v>
      </c>
      <c r="G72" s="10">
        <v>43101</v>
      </c>
      <c r="H72" s="411" t="s">
        <v>15</v>
      </c>
      <c r="I72" s="293" t="s">
        <v>39</v>
      </c>
    </row>
    <row r="73" spans="1:14">
      <c r="B73" s="477">
        <v>43831</v>
      </c>
      <c r="C73" s="10">
        <v>41965</v>
      </c>
      <c r="D73" s="10">
        <v>42139</v>
      </c>
      <c r="E73" s="10">
        <v>42712</v>
      </c>
      <c r="F73" s="411" t="s">
        <v>15</v>
      </c>
      <c r="G73" s="10">
        <v>43221</v>
      </c>
      <c r="H73" s="411" t="s">
        <v>15</v>
      </c>
      <c r="I73" s="293" t="s">
        <v>39</v>
      </c>
    </row>
    <row r="74" spans="1:14">
      <c r="B74" s="477">
        <v>43862</v>
      </c>
      <c r="C74" s="10">
        <v>41974</v>
      </c>
      <c r="D74" s="10">
        <v>42139</v>
      </c>
      <c r="E74" s="10">
        <v>42719</v>
      </c>
      <c r="F74" s="411" t="s">
        <v>15</v>
      </c>
      <c r="G74" s="10">
        <v>43344</v>
      </c>
      <c r="H74" s="411" t="s">
        <v>15</v>
      </c>
      <c r="I74" s="293" t="s">
        <v>39</v>
      </c>
      <c r="J74" t="s">
        <v>633</v>
      </c>
    </row>
    <row r="75" spans="1:14">
      <c r="B75" s="477">
        <v>43891</v>
      </c>
      <c r="C75" s="10">
        <v>42139</v>
      </c>
      <c r="D75" s="10">
        <v>42353</v>
      </c>
      <c r="E75" s="10">
        <v>42750</v>
      </c>
      <c r="F75" s="411" t="s">
        <v>15</v>
      </c>
      <c r="G75" s="10">
        <v>43395</v>
      </c>
      <c r="H75" s="411" t="s">
        <v>15</v>
      </c>
      <c r="I75" s="293" t="s">
        <v>39</v>
      </c>
    </row>
    <row r="76" spans="1:14">
      <c r="B76" s="481">
        <v>43922</v>
      </c>
      <c r="C76" s="482">
        <v>42139</v>
      </c>
      <c r="D76" s="482">
        <v>42353</v>
      </c>
      <c r="E76" s="482">
        <v>42774</v>
      </c>
      <c r="F76" s="484" t="s">
        <v>15</v>
      </c>
      <c r="G76" s="482">
        <v>43466</v>
      </c>
      <c r="H76" s="484" t="s">
        <v>15</v>
      </c>
      <c r="I76" s="484" t="s">
        <v>38</v>
      </c>
      <c r="N76" s="10"/>
    </row>
    <row r="77" spans="1:14">
      <c r="B77" s="477">
        <v>43952</v>
      </c>
      <c r="C77" s="10">
        <v>42186</v>
      </c>
      <c r="D77" s="10">
        <v>42353</v>
      </c>
      <c r="E77" s="10">
        <v>42826</v>
      </c>
      <c r="F77" s="293" t="s">
        <v>15</v>
      </c>
      <c r="G77" s="10">
        <v>43739</v>
      </c>
      <c r="H77" s="293" t="s">
        <v>15</v>
      </c>
      <c r="I77" s="293" t="s">
        <v>38</v>
      </c>
      <c r="N77" s="10"/>
    </row>
    <row r="78" spans="1:14">
      <c r="B78" s="477">
        <v>43983</v>
      </c>
      <c r="C78" s="10">
        <v>42200</v>
      </c>
      <c r="D78" s="10">
        <v>42353</v>
      </c>
      <c r="E78" s="10">
        <v>42847</v>
      </c>
      <c r="F78" s="293" t="s">
        <v>15</v>
      </c>
      <c r="G78" s="10">
        <v>43831</v>
      </c>
      <c r="H78" s="293" t="s">
        <v>15</v>
      </c>
      <c r="I78" s="293" t="s">
        <v>38</v>
      </c>
      <c r="N78" s="10"/>
    </row>
    <row r="79" spans="1:14">
      <c r="B79" s="477">
        <v>44013</v>
      </c>
      <c r="C79" s="10">
        <v>42207</v>
      </c>
      <c r="D79" s="10">
        <v>42353</v>
      </c>
      <c r="E79" s="10">
        <v>42870</v>
      </c>
      <c r="F79" s="293" t="s">
        <v>15</v>
      </c>
      <c r="G79" s="293" t="s">
        <v>15</v>
      </c>
      <c r="H79" s="293" t="s">
        <v>15</v>
      </c>
      <c r="I79" s="293" t="s">
        <v>38</v>
      </c>
      <c r="N79" s="10"/>
    </row>
    <row r="80" spans="1:14">
      <c r="B80" s="477">
        <v>44044</v>
      </c>
      <c r="C80" s="10">
        <v>42231</v>
      </c>
      <c r="D80" s="10">
        <v>42353</v>
      </c>
      <c r="E80" s="10">
        <v>42938</v>
      </c>
      <c r="F80" s="293" t="s">
        <v>15</v>
      </c>
      <c r="G80" s="293" t="s">
        <v>15</v>
      </c>
      <c r="H80" s="293" t="s">
        <v>15</v>
      </c>
      <c r="I80" s="293" t="s">
        <v>38</v>
      </c>
      <c r="N80" s="10"/>
    </row>
    <row r="81" spans="2:14">
      <c r="B81" s="477">
        <v>44075</v>
      </c>
      <c r="C81" s="10">
        <v>42231</v>
      </c>
      <c r="D81" s="10">
        <v>42353</v>
      </c>
      <c r="E81" s="10">
        <v>42948</v>
      </c>
      <c r="F81" s="293" t="s">
        <v>15</v>
      </c>
      <c r="G81" s="293" t="s">
        <v>15</v>
      </c>
      <c r="H81" s="293" t="s">
        <v>15</v>
      </c>
      <c r="I81" s="293" t="s">
        <v>38</v>
      </c>
      <c r="L81" s="3"/>
      <c r="M81" s="3"/>
      <c r="N81" s="486"/>
    </row>
    <row r="82" spans="2:14">
      <c r="B82" s="477">
        <v>44105</v>
      </c>
      <c r="C82" s="10">
        <v>42231</v>
      </c>
      <c r="D82" s="10">
        <v>42353</v>
      </c>
      <c r="E82" s="10">
        <v>42948</v>
      </c>
      <c r="F82" s="293" t="s">
        <v>15</v>
      </c>
      <c r="G82" s="293" t="s">
        <v>15</v>
      </c>
      <c r="H82" s="293" t="s">
        <v>15</v>
      </c>
      <c r="I82" s="484" t="s">
        <v>39</v>
      </c>
      <c r="N82" s="10"/>
    </row>
    <row r="83" spans="2:14" ht="15" customHeight="1">
      <c r="B83" s="477">
        <v>44136</v>
      </c>
      <c r="C83" s="10">
        <v>42231</v>
      </c>
      <c r="D83" s="10">
        <v>42353</v>
      </c>
      <c r="E83" s="10">
        <v>42962</v>
      </c>
      <c r="F83" s="293" t="s">
        <v>15</v>
      </c>
      <c r="G83" s="293" t="s">
        <v>15</v>
      </c>
      <c r="H83" s="293" t="s">
        <v>15</v>
      </c>
      <c r="I83" s="474" t="s">
        <v>39</v>
      </c>
      <c r="N83" s="10"/>
    </row>
    <row r="84" spans="2:14">
      <c r="B84" s="477">
        <v>44166</v>
      </c>
      <c r="C84" s="10">
        <v>42231</v>
      </c>
      <c r="D84" s="10">
        <v>42353</v>
      </c>
      <c r="E84" s="10">
        <v>42979</v>
      </c>
      <c r="F84" s="293" t="s">
        <v>15</v>
      </c>
      <c r="G84" s="293" t="s">
        <v>15</v>
      </c>
      <c r="H84" s="293" t="s">
        <v>15</v>
      </c>
      <c r="I84" s="474" t="s">
        <v>39</v>
      </c>
      <c r="N84" s="10"/>
    </row>
    <row r="85" spans="2:14">
      <c r="B85" s="477">
        <v>44197</v>
      </c>
      <c r="C85" s="10">
        <v>42231</v>
      </c>
      <c r="D85" s="10">
        <v>42353</v>
      </c>
      <c r="E85" s="10">
        <v>42993</v>
      </c>
      <c r="F85" s="293" t="s">
        <v>15</v>
      </c>
      <c r="G85" s="293" t="s">
        <v>15</v>
      </c>
      <c r="H85" s="293" t="s">
        <v>15</v>
      </c>
      <c r="I85" s="484" t="s">
        <v>38</v>
      </c>
      <c r="N85" s="10"/>
    </row>
    <row r="86" spans="2:14">
      <c r="B86" s="477">
        <v>44228</v>
      </c>
      <c r="C86" s="10">
        <v>42231</v>
      </c>
      <c r="D86" s="10">
        <v>42353</v>
      </c>
      <c r="E86" s="10">
        <v>43009</v>
      </c>
      <c r="F86" s="293" t="s">
        <v>15</v>
      </c>
      <c r="G86" s="293" t="s">
        <v>15</v>
      </c>
      <c r="H86" s="293" t="s">
        <v>15</v>
      </c>
      <c r="I86" s="407" t="s">
        <v>38</v>
      </c>
      <c r="J86" t="s">
        <v>634</v>
      </c>
      <c r="N86" s="10"/>
    </row>
    <row r="87" spans="2:14">
      <c r="B87" s="477">
        <v>44256</v>
      </c>
      <c r="C87" s="10">
        <v>42231</v>
      </c>
      <c r="D87" s="10">
        <v>42353</v>
      </c>
      <c r="E87" s="10">
        <v>43030</v>
      </c>
      <c r="F87" s="293" t="s">
        <v>15</v>
      </c>
      <c r="G87" s="293" t="s">
        <v>15</v>
      </c>
      <c r="H87" s="293" t="s">
        <v>15</v>
      </c>
      <c r="I87" s="407" t="s">
        <v>38</v>
      </c>
      <c r="N87" s="10"/>
    </row>
    <row r="88" spans="2:14">
      <c r="B88" s="477">
        <v>44287</v>
      </c>
      <c r="C88" s="10">
        <v>42231</v>
      </c>
      <c r="D88" s="10">
        <v>42353</v>
      </c>
      <c r="E88" s="10">
        <v>43084</v>
      </c>
      <c r="F88" s="293" t="s">
        <v>15</v>
      </c>
      <c r="G88" s="293" t="s">
        <v>15</v>
      </c>
      <c r="H88" s="293" t="s">
        <v>15</v>
      </c>
      <c r="I88" s="407" t="s">
        <v>38</v>
      </c>
      <c r="J88" s="105" t="s">
        <v>635</v>
      </c>
    </row>
    <row r="89" spans="2:14">
      <c r="B89" s="477">
        <v>44317</v>
      </c>
      <c r="C89" s="10">
        <v>42231</v>
      </c>
      <c r="D89" s="10">
        <v>42353</v>
      </c>
      <c r="E89" s="10">
        <v>43146</v>
      </c>
      <c r="F89" s="293" t="s">
        <v>15</v>
      </c>
      <c r="G89" s="293" t="s">
        <v>15</v>
      </c>
      <c r="H89" s="293" t="s">
        <v>15</v>
      </c>
      <c r="I89" s="407" t="s">
        <v>38</v>
      </c>
    </row>
    <row r="90" spans="2:14">
      <c r="B90" s="477">
        <v>44348</v>
      </c>
      <c r="C90" s="10">
        <v>42262</v>
      </c>
      <c r="D90" s="10">
        <v>42353</v>
      </c>
      <c r="E90" s="10">
        <v>43205</v>
      </c>
      <c r="F90" s="293" t="s">
        <v>15</v>
      </c>
      <c r="G90" s="293" t="s">
        <v>15</v>
      </c>
      <c r="H90" s="293" t="s">
        <v>15</v>
      </c>
      <c r="I90" s="407" t="s">
        <v>38</v>
      </c>
    </row>
    <row r="91" spans="2:14">
      <c r="B91" s="477">
        <v>44378</v>
      </c>
      <c r="C91" s="10">
        <v>42316</v>
      </c>
      <c r="D91" s="10">
        <v>42353</v>
      </c>
      <c r="E91" s="10">
        <v>43922</v>
      </c>
      <c r="F91" s="293" t="s">
        <v>15</v>
      </c>
      <c r="G91" s="293" t="s">
        <v>15</v>
      </c>
      <c r="H91" s="293" t="s">
        <v>15</v>
      </c>
      <c r="I91" s="407" t="s">
        <v>38</v>
      </c>
    </row>
    <row r="92" spans="2:14">
      <c r="B92" s="477">
        <v>44409</v>
      </c>
      <c r="C92" s="10">
        <v>42323</v>
      </c>
      <c r="D92" s="10">
        <v>42353</v>
      </c>
      <c r="E92" s="293" t="s">
        <v>15</v>
      </c>
      <c r="F92" s="293" t="s">
        <v>15</v>
      </c>
      <c r="G92" s="293" t="s">
        <v>15</v>
      </c>
      <c r="H92" s="293" t="s">
        <v>15</v>
      </c>
      <c r="I92" s="407" t="s">
        <v>38</v>
      </c>
    </row>
    <row r="93" spans="2:14">
      <c r="B93" s="477">
        <v>44440</v>
      </c>
      <c r="C93" s="10">
        <v>42330</v>
      </c>
      <c r="D93" s="10">
        <v>42353</v>
      </c>
      <c r="E93" s="293" t="s">
        <v>15</v>
      </c>
      <c r="F93" s="293" t="s">
        <v>15</v>
      </c>
      <c r="G93" s="293" t="s">
        <v>15</v>
      </c>
      <c r="H93" s="293" t="s">
        <v>15</v>
      </c>
      <c r="I93" s="407" t="s">
        <v>38</v>
      </c>
    </row>
    <row r="94" spans="2:14" ht="15">
      <c r="B94" s="477">
        <v>44470</v>
      </c>
      <c r="C94" s="10">
        <v>42330</v>
      </c>
      <c r="D94" s="10">
        <v>42353</v>
      </c>
      <c r="E94" s="293" t="s">
        <v>15</v>
      </c>
      <c r="F94" s="293" t="s">
        <v>15</v>
      </c>
      <c r="G94" s="293" t="s">
        <v>15</v>
      </c>
      <c r="H94" s="293" t="s">
        <v>15</v>
      </c>
      <c r="I94" s="487" t="s">
        <v>636</v>
      </c>
      <c r="J94" s="43" t="s">
        <v>637</v>
      </c>
    </row>
    <row r="95" spans="2:14">
      <c r="B95" s="477">
        <v>44501</v>
      </c>
      <c r="C95" s="10">
        <v>42330</v>
      </c>
      <c r="D95" s="10">
        <v>42353</v>
      </c>
      <c r="E95" s="293" t="s">
        <v>15</v>
      </c>
      <c r="F95" s="293" t="s">
        <v>15</v>
      </c>
      <c r="G95" s="293" t="s">
        <v>15</v>
      </c>
      <c r="H95" s="293" t="s">
        <v>15</v>
      </c>
      <c r="J95" t="s">
        <v>638</v>
      </c>
    </row>
    <row r="96" spans="2:14" ht="16.149999999999999" customHeight="1">
      <c r="B96" s="477">
        <v>44531</v>
      </c>
      <c r="C96" s="293" t="s">
        <v>15</v>
      </c>
      <c r="D96" s="10">
        <v>42353</v>
      </c>
      <c r="E96" s="293" t="s">
        <v>15</v>
      </c>
      <c r="F96" s="293" t="s">
        <v>15</v>
      </c>
      <c r="G96" s="293" t="s">
        <v>15</v>
      </c>
      <c r="H96" s="293" t="s">
        <v>15</v>
      </c>
      <c r="J96" t="s">
        <v>639</v>
      </c>
    </row>
    <row r="97" spans="1:11" ht="15">
      <c r="B97" s="477">
        <v>44562</v>
      </c>
      <c r="C97" s="293" t="s">
        <v>15</v>
      </c>
      <c r="D97" s="10">
        <v>42353</v>
      </c>
      <c r="E97" s="293" t="s">
        <v>15</v>
      </c>
      <c r="F97" s="293" t="s">
        <v>15</v>
      </c>
      <c r="G97" s="293" t="s">
        <v>15</v>
      </c>
      <c r="H97" s="293" t="s">
        <v>15</v>
      </c>
      <c r="I97" s="484"/>
      <c r="J97" s="488" t="s">
        <v>640</v>
      </c>
    </row>
    <row r="98" spans="1:11">
      <c r="B98" s="477">
        <v>44593</v>
      </c>
      <c r="C98" s="293" t="s">
        <v>15</v>
      </c>
      <c r="D98" s="10">
        <v>42353</v>
      </c>
      <c r="E98" s="293" t="s">
        <v>15</v>
      </c>
      <c r="F98" s="293" t="s">
        <v>15</v>
      </c>
      <c r="G98" s="293" t="s">
        <v>15</v>
      </c>
      <c r="H98" s="293" t="s">
        <v>15</v>
      </c>
    </row>
    <row r="99" spans="1:11">
      <c r="B99" s="477">
        <v>44621</v>
      </c>
      <c r="C99" s="293" t="s">
        <v>15</v>
      </c>
      <c r="D99" s="10">
        <v>42353</v>
      </c>
      <c r="E99" s="293" t="s">
        <v>15</v>
      </c>
      <c r="F99" s="293" t="s">
        <v>15</v>
      </c>
      <c r="G99" s="293" t="s">
        <v>15</v>
      </c>
      <c r="H99" s="293" t="s">
        <v>15</v>
      </c>
      <c r="J99" t="s">
        <v>641</v>
      </c>
    </row>
    <row r="100" spans="1:11" ht="15">
      <c r="B100" s="477">
        <v>44652</v>
      </c>
      <c r="C100" s="293" t="s">
        <v>15</v>
      </c>
      <c r="D100" s="10">
        <v>42353</v>
      </c>
      <c r="E100" s="293" t="s">
        <v>15</v>
      </c>
      <c r="F100" s="293" t="s">
        <v>15</v>
      </c>
      <c r="G100" s="293" t="s">
        <v>15</v>
      </c>
      <c r="H100" s="293" t="s">
        <v>15</v>
      </c>
      <c r="J100" s="488" t="s">
        <v>642</v>
      </c>
    </row>
    <row r="101" spans="1:11" ht="15.75" thickBot="1">
      <c r="B101" s="479"/>
      <c r="C101" s="473"/>
      <c r="D101" s="480"/>
      <c r="E101" s="473"/>
      <c r="F101" s="473"/>
      <c r="G101" s="473"/>
      <c r="H101" s="473"/>
      <c r="I101" s="473"/>
      <c r="J101" s="489"/>
      <c r="K101" s="451"/>
    </row>
    <row r="102" spans="1:11" ht="15.75">
      <c r="A102" t="s">
        <v>36</v>
      </c>
      <c r="B102" s="294" t="s">
        <v>643</v>
      </c>
      <c r="D102" s="10"/>
      <c r="E102" s="294" t="s">
        <v>644</v>
      </c>
      <c r="I102" s="488"/>
    </row>
    <row r="103" spans="1:11">
      <c r="B103" s="411"/>
      <c r="C103" s="293" t="s">
        <v>38</v>
      </c>
      <c r="D103" s="490" t="s">
        <v>39</v>
      </c>
      <c r="E103" s="293" t="s">
        <v>38</v>
      </c>
      <c r="F103" s="293" t="s">
        <v>39</v>
      </c>
      <c r="I103" s="898" t="s">
        <v>632</v>
      </c>
      <c r="J103" s="898" t="s">
        <v>630</v>
      </c>
    </row>
    <row r="104" spans="1:11">
      <c r="B104" s="477"/>
      <c r="C104" s="293" t="s">
        <v>0</v>
      </c>
      <c r="D104" s="490" t="s">
        <v>0</v>
      </c>
      <c r="E104" s="293" t="s">
        <v>0</v>
      </c>
      <c r="F104" s="293" t="s">
        <v>0</v>
      </c>
      <c r="I104" s="898"/>
      <c r="J104" s="898"/>
    </row>
    <row r="105" spans="1:11">
      <c r="B105" s="477">
        <v>44682</v>
      </c>
      <c r="C105" s="411">
        <v>42330</v>
      </c>
      <c r="D105" s="491">
        <v>42353</v>
      </c>
      <c r="E105" s="293" t="s">
        <v>15</v>
      </c>
      <c r="F105" s="293" t="s">
        <v>15</v>
      </c>
      <c r="I105"/>
      <c r="J105" t="s">
        <v>645</v>
      </c>
    </row>
    <row r="106" spans="1:11">
      <c r="B106" s="477">
        <v>44713</v>
      </c>
      <c r="C106" s="411">
        <v>42330</v>
      </c>
      <c r="D106" s="491">
        <v>42360</v>
      </c>
      <c r="E106" s="293" t="s">
        <v>15</v>
      </c>
      <c r="F106" s="293" t="s">
        <v>15</v>
      </c>
      <c r="I106"/>
      <c r="J106" s="129" t="s">
        <v>646</v>
      </c>
    </row>
    <row r="107" spans="1:11">
      <c r="B107" s="477">
        <v>44743</v>
      </c>
      <c r="C107" s="411">
        <v>42330</v>
      </c>
      <c r="D107" s="491">
        <v>42360</v>
      </c>
      <c r="E107" s="293" t="s">
        <v>15</v>
      </c>
      <c r="F107" s="293" t="s">
        <v>15</v>
      </c>
      <c r="I107"/>
    </row>
    <row r="108" spans="1:11">
      <c r="B108" s="477">
        <v>44774</v>
      </c>
      <c r="C108" s="411">
        <v>42330</v>
      </c>
      <c r="D108" s="491">
        <v>42360</v>
      </c>
      <c r="E108" s="293" t="s">
        <v>15</v>
      </c>
      <c r="F108" s="293" t="s">
        <v>15</v>
      </c>
      <c r="I108"/>
    </row>
    <row r="109" spans="1:11">
      <c r="B109" s="477">
        <v>44805</v>
      </c>
      <c r="C109" s="411">
        <v>42330</v>
      </c>
      <c r="D109" s="491">
        <v>42370</v>
      </c>
      <c r="E109" s="293" t="s">
        <v>15</v>
      </c>
      <c r="F109" s="293" t="s">
        <v>15</v>
      </c>
      <c r="I109"/>
      <c r="J109" t="s">
        <v>1017</v>
      </c>
    </row>
    <row r="110" spans="1:11">
      <c r="B110" s="477">
        <v>44835</v>
      </c>
      <c r="C110" s="411">
        <v>42085</v>
      </c>
      <c r="D110" s="491">
        <v>42370</v>
      </c>
      <c r="E110" s="411">
        <v>43777</v>
      </c>
      <c r="F110" s="411">
        <v>43807</v>
      </c>
      <c r="I110" t="s">
        <v>39</v>
      </c>
      <c r="J110" t="s">
        <v>1018</v>
      </c>
    </row>
    <row r="111" spans="1:11">
      <c r="B111" s="477">
        <v>44866</v>
      </c>
      <c r="C111" s="411">
        <v>42085</v>
      </c>
      <c r="D111" s="491">
        <v>42370</v>
      </c>
      <c r="E111" s="411">
        <v>43777</v>
      </c>
      <c r="F111" s="411">
        <v>43807</v>
      </c>
      <c r="I111" t="s">
        <v>39</v>
      </c>
    </row>
    <row r="112" spans="1:11">
      <c r="B112" s="477">
        <v>44896</v>
      </c>
      <c r="C112" s="411">
        <v>42085</v>
      </c>
      <c r="D112" s="491">
        <v>42370</v>
      </c>
      <c r="E112" s="411">
        <v>43777</v>
      </c>
      <c r="F112" s="411">
        <v>43807</v>
      </c>
      <c r="I112" t="s">
        <v>39</v>
      </c>
    </row>
    <row r="113" spans="1:10">
      <c r="B113" s="477">
        <v>44927</v>
      </c>
      <c r="C113" s="411">
        <v>42085</v>
      </c>
      <c r="D113" s="491">
        <v>42370</v>
      </c>
      <c r="E113" s="411">
        <v>43777</v>
      </c>
      <c r="F113" s="411">
        <v>43807</v>
      </c>
      <c r="I113" t="s">
        <v>39</v>
      </c>
    </row>
    <row r="114" spans="1:10">
      <c r="B114" s="477">
        <v>44958</v>
      </c>
      <c r="C114" s="411">
        <v>42085</v>
      </c>
      <c r="D114" s="491">
        <v>42370</v>
      </c>
      <c r="E114" s="411">
        <v>43777</v>
      </c>
      <c r="F114" s="411">
        <v>43807</v>
      </c>
      <c r="I114" t="s">
        <v>39</v>
      </c>
    </row>
    <row r="115" spans="1:10">
      <c r="B115" s="477">
        <v>44986</v>
      </c>
      <c r="C115" s="10">
        <v>42193</v>
      </c>
      <c r="D115" s="491">
        <v>42370</v>
      </c>
      <c r="E115" s="411">
        <v>43252</v>
      </c>
      <c r="F115" s="411">
        <v>43807</v>
      </c>
      <c r="I115" t="s">
        <v>39</v>
      </c>
    </row>
    <row r="116" spans="1:10">
      <c r="B116" s="477">
        <v>45017</v>
      </c>
      <c r="C116" s="10">
        <v>42193</v>
      </c>
      <c r="D116" s="491">
        <v>42370</v>
      </c>
      <c r="E116" s="411">
        <v>43252</v>
      </c>
      <c r="F116" s="411">
        <v>43807</v>
      </c>
      <c r="I116" t="s">
        <v>38</v>
      </c>
    </row>
    <row r="117" spans="1:10">
      <c r="B117" s="477">
        <v>45047</v>
      </c>
      <c r="C117" s="10">
        <v>42255</v>
      </c>
      <c r="D117" s="491">
        <v>42370</v>
      </c>
      <c r="E117" s="411">
        <v>43252</v>
      </c>
      <c r="F117" s="411">
        <v>43807</v>
      </c>
      <c r="I117" t="s">
        <v>38</v>
      </c>
    </row>
    <row r="118" spans="1:10">
      <c r="B118" s="477">
        <v>45078</v>
      </c>
      <c r="C118" s="10">
        <v>42255</v>
      </c>
      <c r="D118" s="491">
        <v>42370</v>
      </c>
      <c r="E118" s="411">
        <v>42826</v>
      </c>
      <c r="F118" s="411">
        <v>43807</v>
      </c>
      <c r="I118" t="s">
        <v>38</v>
      </c>
      <c r="J118" t="s">
        <v>647</v>
      </c>
    </row>
    <row r="119" spans="1:10">
      <c r="B119" s="477">
        <v>45108</v>
      </c>
      <c r="C119" s="10">
        <v>42255</v>
      </c>
      <c r="D119" s="491">
        <v>42370</v>
      </c>
      <c r="E119" s="411">
        <v>42826</v>
      </c>
      <c r="F119" s="411">
        <v>43807</v>
      </c>
      <c r="I119" t="s">
        <v>38</v>
      </c>
    </row>
    <row r="120" spans="1:10">
      <c r="B120" s="477">
        <v>45139</v>
      </c>
      <c r="C120" s="10">
        <v>42255</v>
      </c>
      <c r="D120" s="491">
        <v>42370</v>
      </c>
      <c r="E120" s="411">
        <v>42826</v>
      </c>
      <c r="F120" s="411">
        <v>43807</v>
      </c>
      <c r="I120" t="s">
        <v>38</v>
      </c>
    </row>
    <row r="121" spans="1:10">
      <c r="B121" s="477">
        <v>45170</v>
      </c>
      <c r="C121" s="10">
        <v>42255</v>
      </c>
      <c r="D121" s="491">
        <v>42370</v>
      </c>
      <c r="E121" s="411">
        <v>42826</v>
      </c>
      <c r="F121" s="411">
        <v>43807</v>
      </c>
      <c r="I121" t="s">
        <v>38</v>
      </c>
      <c r="J121" t="s">
        <v>648</v>
      </c>
    </row>
    <row r="122" spans="1:10">
      <c r="B122" s="477">
        <v>45200</v>
      </c>
      <c r="C122" s="10">
        <v>42278</v>
      </c>
      <c r="D122" s="491">
        <v>42736</v>
      </c>
      <c r="E122" s="411">
        <v>43449</v>
      </c>
      <c r="F122" s="411">
        <v>44652</v>
      </c>
      <c r="I122" t="s">
        <v>39</v>
      </c>
      <c r="J122" t="s">
        <v>649</v>
      </c>
    </row>
    <row r="123" spans="1:10">
      <c r="B123" s="477">
        <v>45231</v>
      </c>
      <c r="C123" s="10">
        <v>42278</v>
      </c>
      <c r="D123" s="491">
        <v>42736</v>
      </c>
      <c r="E123" s="411">
        <v>43449</v>
      </c>
      <c r="F123" s="411">
        <v>44652</v>
      </c>
      <c r="I123" t="s">
        <v>39</v>
      </c>
    </row>
    <row r="124" spans="1:10">
      <c r="B124" s="477">
        <v>45261</v>
      </c>
      <c r="C124" s="10">
        <v>42278</v>
      </c>
      <c r="D124" s="491">
        <v>42736</v>
      </c>
      <c r="E124" s="411">
        <v>43449</v>
      </c>
      <c r="F124" s="411">
        <v>44652</v>
      </c>
      <c r="I124" t="s">
        <v>39</v>
      </c>
    </row>
    <row r="125" spans="1:10">
      <c r="A125">
        <v>1</v>
      </c>
      <c r="B125" s="477">
        <v>45292</v>
      </c>
      <c r="C125" s="10">
        <v>42346</v>
      </c>
      <c r="D125" s="491">
        <v>42736</v>
      </c>
      <c r="E125" s="411">
        <v>44166</v>
      </c>
      <c r="F125" s="411">
        <v>44652</v>
      </c>
      <c r="I125" t="s">
        <v>39</v>
      </c>
    </row>
    <row r="126" spans="1:10">
      <c r="A126">
        <v>2</v>
      </c>
      <c r="B126" s="477">
        <v>45323</v>
      </c>
      <c r="C126" s="10">
        <v>42353</v>
      </c>
      <c r="D126" s="491">
        <v>42736</v>
      </c>
      <c r="E126" s="411">
        <v>44166</v>
      </c>
      <c r="F126" s="411">
        <v>44652</v>
      </c>
      <c r="I126" t="s">
        <v>39</v>
      </c>
    </row>
    <row r="127" spans="1:10">
      <c r="A127">
        <v>3</v>
      </c>
      <c r="B127" s="477">
        <v>45352</v>
      </c>
      <c r="C127" s="10">
        <v>42353</v>
      </c>
      <c r="D127" s="491">
        <v>42736</v>
      </c>
      <c r="E127" s="411">
        <v>44166</v>
      </c>
      <c r="F127" s="411">
        <v>44652</v>
      </c>
      <c r="I127" t="s">
        <v>38</v>
      </c>
    </row>
    <row r="128" spans="1:10">
      <c r="A128">
        <v>4</v>
      </c>
      <c r="B128" s="477">
        <v>45383</v>
      </c>
      <c r="C128" s="10">
        <v>42353</v>
      </c>
      <c r="D128" s="491">
        <v>42736</v>
      </c>
      <c r="E128" s="411">
        <v>44166</v>
      </c>
      <c r="F128" s="411">
        <v>44652</v>
      </c>
      <c r="I128" t="s">
        <v>38</v>
      </c>
      <c r="J128" t="s">
        <v>650</v>
      </c>
    </row>
    <row r="129" spans="1:10">
      <c r="A129">
        <v>5</v>
      </c>
      <c r="B129" s="477">
        <v>45413</v>
      </c>
      <c r="C129" s="10">
        <v>42353</v>
      </c>
      <c r="D129" s="491">
        <v>42736</v>
      </c>
      <c r="E129" s="411">
        <v>44166</v>
      </c>
      <c r="F129" s="411">
        <v>44652</v>
      </c>
      <c r="I129" t="s">
        <v>38</v>
      </c>
    </row>
    <row r="130" spans="1:10">
      <c r="A130">
        <v>6</v>
      </c>
      <c r="B130" s="477">
        <v>45444</v>
      </c>
      <c r="C130" s="10">
        <v>42353</v>
      </c>
      <c r="D130" s="491">
        <v>42736</v>
      </c>
      <c r="E130" s="411">
        <v>44166</v>
      </c>
      <c r="F130" s="411">
        <v>44652</v>
      </c>
      <c r="I130" t="s">
        <v>38</v>
      </c>
    </row>
    <row r="131" spans="1:10">
      <c r="A131">
        <v>7</v>
      </c>
      <c r="B131" s="477">
        <v>45474</v>
      </c>
      <c r="C131" s="10">
        <v>42353</v>
      </c>
      <c r="D131" s="491">
        <v>42736</v>
      </c>
      <c r="E131" s="411">
        <v>44166</v>
      </c>
      <c r="F131" s="411">
        <v>44652</v>
      </c>
      <c r="I131" t="s">
        <v>38</v>
      </c>
    </row>
    <row r="132" spans="1:10">
      <c r="A132">
        <v>8</v>
      </c>
      <c r="B132" s="477">
        <v>45505</v>
      </c>
      <c r="C132" s="10">
        <v>42353</v>
      </c>
      <c r="D132" s="491">
        <v>42736</v>
      </c>
      <c r="E132" s="411">
        <v>44166</v>
      </c>
      <c r="F132" s="411">
        <v>44652</v>
      </c>
      <c r="I132" t="s">
        <v>38</v>
      </c>
    </row>
    <row r="133" spans="1:10">
      <c r="A133">
        <v>9</v>
      </c>
      <c r="B133" s="477">
        <v>45536</v>
      </c>
      <c r="C133" s="10">
        <v>42353</v>
      </c>
      <c r="D133" s="491">
        <v>42736</v>
      </c>
      <c r="E133" s="411">
        <v>44166</v>
      </c>
      <c r="F133" s="411">
        <v>44652</v>
      </c>
      <c r="I133" t="s">
        <v>38</v>
      </c>
    </row>
    <row r="134" spans="1:10">
      <c r="A134">
        <v>10</v>
      </c>
      <c r="B134" s="477">
        <v>45566</v>
      </c>
      <c r="C134" s="10">
        <v>42566</v>
      </c>
      <c r="D134" s="491">
        <v>42644</v>
      </c>
      <c r="E134" s="411">
        <v>44562</v>
      </c>
      <c r="F134" s="411">
        <v>44652</v>
      </c>
      <c r="I134" t="s">
        <v>39</v>
      </c>
    </row>
    <row r="135" spans="1:10">
      <c r="A135">
        <v>11</v>
      </c>
      <c r="B135" s="477">
        <v>45597</v>
      </c>
      <c r="C135" s="10">
        <v>42566</v>
      </c>
      <c r="D135" s="491">
        <v>42644</v>
      </c>
      <c r="E135" s="411">
        <v>44562</v>
      </c>
      <c r="F135" s="411">
        <v>44652</v>
      </c>
      <c r="I135" t="s">
        <v>39</v>
      </c>
    </row>
    <row r="136" spans="1:10">
      <c r="A136">
        <v>12</v>
      </c>
      <c r="B136" s="477">
        <v>45627</v>
      </c>
      <c r="C136" s="10">
        <v>42566</v>
      </c>
      <c r="D136" s="491">
        <v>42644</v>
      </c>
      <c r="E136" s="411">
        <v>44562</v>
      </c>
      <c r="F136" s="411">
        <v>44652</v>
      </c>
      <c r="I136" t="s">
        <v>39</v>
      </c>
    </row>
    <row r="137" spans="1:10" ht="14.45" customHeight="1">
      <c r="A137">
        <v>13</v>
      </c>
      <c r="B137" s="477">
        <v>45658</v>
      </c>
      <c r="C137" s="10">
        <v>42566</v>
      </c>
      <c r="D137" s="491">
        <v>42644</v>
      </c>
      <c r="E137" s="411">
        <v>44562</v>
      </c>
      <c r="F137" s="411">
        <v>44652</v>
      </c>
      <c r="I137" t="s">
        <v>39</v>
      </c>
      <c r="J137" s="525" t="s">
        <v>651</v>
      </c>
    </row>
    <row r="138" spans="1:10">
      <c r="A138">
        <v>14</v>
      </c>
      <c r="B138" s="477">
        <v>45689</v>
      </c>
      <c r="C138" s="10">
        <v>42566</v>
      </c>
      <c r="D138" s="491">
        <v>42644</v>
      </c>
      <c r="E138" s="411">
        <v>44562</v>
      </c>
      <c r="F138" s="411">
        <v>44652</v>
      </c>
      <c r="I138" t="s">
        <v>38</v>
      </c>
    </row>
    <row r="139" spans="1:10">
      <c r="A139">
        <v>15</v>
      </c>
      <c r="B139" s="477">
        <v>45717</v>
      </c>
      <c r="C139" s="10">
        <v>42566</v>
      </c>
      <c r="D139" s="491">
        <v>42644</v>
      </c>
      <c r="E139" s="411">
        <v>44562</v>
      </c>
      <c r="F139" s="411">
        <v>44652</v>
      </c>
      <c r="I139" t="s">
        <v>38</v>
      </c>
    </row>
    <row r="140" spans="1:10">
      <c r="A140">
        <v>16</v>
      </c>
      <c r="B140" s="477">
        <v>45748</v>
      </c>
      <c r="C140" s="10">
        <v>41661</v>
      </c>
      <c r="D140" s="491">
        <v>42644</v>
      </c>
      <c r="E140" s="411">
        <v>43770</v>
      </c>
      <c r="F140" s="411">
        <v>44652</v>
      </c>
      <c r="I140" t="s">
        <v>38</v>
      </c>
      <c r="J140" t="s">
        <v>652</v>
      </c>
    </row>
    <row r="141" spans="1:10">
      <c r="A141">
        <v>17</v>
      </c>
      <c r="B141" s="477">
        <v>45778</v>
      </c>
      <c r="C141" s="10">
        <v>41661</v>
      </c>
      <c r="D141" s="491">
        <v>42644</v>
      </c>
      <c r="E141" s="411">
        <v>43586</v>
      </c>
      <c r="F141" s="411">
        <v>44652</v>
      </c>
      <c r="I141" t="s">
        <v>38</v>
      </c>
      <c r="J141" t="s">
        <v>653</v>
      </c>
    </row>
    <row r="142" spans="1:10">
      <c r="A142">
        <v>18</v>
      </c>
      <c r="B142" s="477">
        <v>45809</v>
      </c>
      <c r="C142" s="10">
        <v>41661</v>
      </c>
      <c r="D142" s="491">
        <v>42644</v>
      </c>
      <c r="E142" s="411">
        <v>43586</v>
      </c>
      <c r="F142" s="411">
        <v>44652</v>
      </c>
      <c r="I142" t="s">
        <v>38</v>
      </c>
    </row>
    <row r="143" spans="1:10">
      <c r="A143">
        <v>19</v>
      </c>
      <c r="B143" s="477">
        <v>45839</v>
      </c>
      <c r="C143" s="10">
        <v>41661</v>
      </c>
      <c r="D143" s="491">
        <v>42644</v>
      </c>
      <c r="E143" s="411">
        <v>43586</v>
      </c>
      <c r="F143" s="411">
        <v>44652</v>
      </c>
      <c r="I143" t="s">
        <v>38</v>
      </c>
    </row>
    <row r="144" spans="1:10">
      <c r="A144">
        <v>20</v>
      </c>
      <c r="B144" s="475">
        <v>45870</v>
      </c>
      <c r="C144" s="10">
        <v>42346</v>
      </c>
      <c r="D144" s="491">
        <v>42644</v>
      </c>
      <c r="E144" s="411">
        <v>43784</v>
      </c>
      <c r="F144" s="411">
        <v>44652</v>
      </c>
      <c r="I144"/>
      <c r="J144" t="s">
        <v>989</v>
      </c>
    </row>
    <row r="145" spans="1:10">
      <c r="A145">
        <v>21</v>
      </c>
      <c r="B145" s="475">
        <v>45901</v>
      </c>
      <c r="C145" s="10">
        <v>42346</v>
      </c>
      <c r="D145" s="491">
        <v>42644</v>
      </c>
      <c r="E145" s="411">
        <v>43784</v>
      </c>
      <c r="F145" s="411">
        <v>44652</v>
      </c>
      <c r="I145"/>
    </row>
    <row r="146" spans="1:10">
      <c r="A146">
        <v>22</v>
      </c>
      <c r="B146" s="475">
        <v>45931</v>
      </c>
      <c r="C146" s="10">
        <v>42346</v>
      </c>
      <c r="D146" s="411">
        <v>42552</v>
      </c>
      <c r="E146" s="411">
        <v>44228</v>
      </c>
      <c r="F146" s="411">
        <v>44652</v>
      </c>
      <c r="I146" t="s">
        <v>39</v>
      </c>
    </row>
    <row r="147" spans="1:10">
      <c r="A147">
        <v>23</v>
      </c>
      <c r="B147" s="475">
        <v>45962</v>
      </c>
      <c r="C147" s="10">
        <v>42346</v>
      </c>
      <c r="D147" s="411">
        <v>42552</v>
      </c>
      <c r="E147" s="411">
        <v>44228</v>
      </c>
      <c r="F147" s="411">
        <v>44652</v>
      </c>
      <c r="I147" t="s">
        <v>39</v>
      </c>
    </row>
    <row r="148" spans="1:10">
      <c r="A148">
        <v>24</v>
      </c>
      <c r="B148" s="475">
        <v>45992</v>
      </c>
      <c r="C148" s="10">
        <v>42566</v>
      </c>
      <c r="D148" s="411">
        <v>42573</v>
      </c>
      <c r="E148" s="411">
        <v>44378</v>
      </c>
      <c r="F148" s="411">
        <v>44652</v>
      </c>
      <c r="I148" t="s">
        <v>39</v>
      </c>
    </row>
    <row r="149" spans="1:10">
      <c r="A149">
        <v>25</v>
      </c>
      <c r="B149" s="475">
        <v>46023</v>
      </c>
      <c r="C149" s="10">
        <v>42597</v>
      </c>
      <c r="D149" s="10">
        <v>42604</v>
      </c>
      <c r="E149" s="411">
        <v>44682</v>
      </c>
      <c r="F149" s="411">
        <v>45413</v>
      </c>
      <c r="I149" t="s">
        <v>39</v>
      </c>
    </row>
    <row r="150" spans="1:10">
      <c r="A150">
        <v>26</v>
      </c>
      <c r="B150" s="475">
        <v>46054</v>
      </c>
      <c r="C150" s="10">
        <v>42597</v>
      </c>
      <c r="D150" s="10">
        <v>42604</v>
      </c>
      <c r="E150" s="411">
        <v>44682</v>
      </c>
      <c r="F150" s="411">
        <v>45413</v>
      </c>
      <c r="I150" t="s">
        <v>39</v>
      </c>
    </row>
    <row r="151" spans="1:10">
      <c r="A151">
        <v>27</v>
      </c>
      <c r="B151" s="475">
        <v>46082</v>
      </c>
      <c r="C151" s="10">
        <v>42597</v>
      </c>
      <c r="D151" s="10">
        <v>42644</v>
      </c>
      <c r="E151" s="411">
        <v>44682</v>
      </c>
      <c r="F151" s="411">
        <v>45413</v>
      </c>
      <c r="I151" t="s">
        <v>39</v>
      </c>
    </row>
    <row r="152" spans="1:10">
      <c r="A152">
        <v>28</v>
      </c>
      <c r="B152" s="475">
        <v>46113</v>
      </c>
      <c r="C152" s="10">
        <v>42614</v>
      </c>
      <c r="D152" s="10">
        <v>42644</v>
      </c>
      <c r="E152" s="411">
        <v>44682</v>
      </c>
      <c r="F152" s="411">
        <v>45413</v>
      </c>
      <c r="I152" t="s">
        <v>39</v>
      </c>
    </row>
    <row r="153" spans="1:10">
      <c r="A153">
        <v>29</v>
      </c>
      <c r="B153" s="475">
        <v>46143</v>
      </c>
      <c r="C153" s="10">
        <v>42635</v>
      </c>
      <c r="D153" s="10">
        <v>42795</v>
      </c>
      <c r="E153" s="411">
        <v>44682</v>
      </c>
      <c r="F153" s="411">
        <v>45413</v>
      </c>
      <c r="I153" t="s">
        <v>38</v>
      </c>
    </row>
    <row r="154" spans="1:10">
      <c r="A154">
        <v>30</v>
      </c>
      <c r="B154" s="475">
        <v>46174</v>
      </c>
      <c r="C154" s="10">
        <v>42635</v>
      </c>
      <c r="D154" s="10">
        <v>42795</v>
      </c>
      <c r="E154" s="411">
        <v>44682</v>
      </c>
      <c r="F154" s="411">
        <v>45413</v>
      </c>
      <c r="I154" s="129" t="s">
        <v>38</v>
      </c>
      <c r="J154" t="s">
        <v>1085</v>
      </c>
    </row>
    <row r="155" spans="1:10">
      <c r="A155">
        <v>30</v>
      </c>
      <c r="B155" s="475">
        <v>46204</v>
      </c>
      <c r="C155" s="10">
        <v>42705</v>
      </c>
      <c r="D155" s="10">
        <v>42795</v>
      </c>
      <c r="E155" t="s">
        <v>1104</v>
      </c>
      <c r="F155" s="411">
        <v>45413</v>
      </c>
    </row>
    <row r="156" spans="1:10">
      <c r="A156">
        <v>30</v>
      </c>
      <c r="B156" s="475">
        <v>46235</v>
      </c>
      <c r="C156" s="10">
        <v>42705</v>
      </c>
      <c r="D156" s="10">
        <v>42795</v>
      </c>
      <c r="E156" t="s">
        <v>1104</v>
      </c>
      <c r="F156" s="411">
        <v>45413</v>
      </c>
    </row>
  </sheetData>
  <mergeCells count="8">
    <mergeCell ref="I103:I104"/>
    <mergeCell ref="J103:J104"/>
    <mergeCell ref="B8:B9"/>
    <mergeCell ref="I8:I9"/>
    <mergeCell ref="J8:J9"/>
    <mergeCell ref="B65:B66"/>
    <mergeCell ref="I65:I66"/>
    <mergeCell ref="J65:J66"/>
  </mergeCells>
  <hyperlinks>
    <hyperlink ref="J88" r:id="rId1" location="ExternalPopup" display="https://travel.state.gov/content/travel/en/legal/visa-law0/visa-bulletin/2021/visa-bulletin-for-april-2021.html - ExternalPopup" xr:uid="{A1ADB812-EC65-4C4A-85CB-616D4B7C9739}"/>
    <hyperlink ref="C4" r:id="rId2" xr:uid="{FE4073C7-C2C7-43C7-AE34-9A5E20C3655C}"/>
  </hyperlinks>
  <pageMargins left="0.7" right="0.7" top="0.75" bottom="0.75" header="0.3" footer="0.3"/>
  <pageSetup orientation="portrait" horizontalDpi="4294967293" verticalDpi="1200"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55962-4D9E-47F0-A555-88DF14791ED4}">
  <dimension ref="A1:B19"/>
  <sheetViews>
    <sheetView workbookViewId="0">
      <selection activeCell="C19" sqref="C19"/>
    </sheetView>
  </sheetViews>
  <sheetFormatPr defaultRowHeight="14.25"/>
  <cols>
    <col min="1" max="1" width="9.875" bestFit="1" customWidth="1"/>
  </cols>
  <sheetData>
    <row r="1" spans="1:2" ht="15">
      <c r="A1" s="1" t="s">
        <v>143</v>
      </c>
    </row>
    <row r="3" spans="1:2" ht="15">
      <c r="A3" s="1" t="s">
        <v>144</v>
      </c>
      <c r="B3" s="1" t="s">
        <v>145</v>
      </c>
    </row>
    <row r="4" spans="1:2">
      <c r="A4" s="10">
        <v>45726</v>
      </c>
      <c r="B4" t="s">
        <v>149</v>
      </c>
    </row>
    <row r="5" spans="1:2">
      <c r="A5" s="10">
        <v>45788</v>
      </c>
      <c r="B5" t="s">
        <v>164</v>
      </c>
    </row>
    <row r="6" spans="1:2">
      <c r="A6" s="10">
        <v>45796</v>
      </c>
      <c r="B6" t="s">
        <v>171</v>
      </c>
    </row>
    <row r="7" spans="1:2">
      <c r="A7" s="10">
        <v>45800</v>
      </c>
      <c r="B7" t="s">
        <v>174</v>
      </c>
    </row>
    <row r="8" spans="1:2">
      <c r="A8" s="10">
        <v>45803</v>
      </c>
      <c r="B8" t="s">
        <v>232</v>
      </c>
    </row>
    <row r="9" spans="1:2">
      <c r="A9" s="10">
        <v>45840</v>
      </c>
      <c r="B9" t="s">
        <v>251</v>
      </c>
    </row>
    <row r="10" spans="1:2">
      <c r="A10" s="10">
        <v>45852</v>
      </c>
      <c r="B10" t="s">
        <v>257</v>
      </c>
    </row>
    <row r="11" spans="1:2">
      <c r="A11" s="10">
        <v>45852</v>
      </c>
      <c r="B11" t="s">
        <v>259</v>
      </c>
    </row>
    <row r="12" spans="1:2">
      <c r="A12" s="10">
        <v>45943</v>
      </c>
      <c r="B12" t="s">
        <v>654</v>
      </c>
    </row>
    <row r="13" spans="1:2">
      <c r="A13" s="10">
        <v>45943</v>
      </c>
      <c r="B13" t="s">
        <v>655</v>
      </c>
    </row>
    <row r="14" spans="1:2">
      <c r="A14" s="10">
        <v>45958</v>
      </c>
      <c r="B14" t="s">
        <v>676</v>
      </c>
    </row>
    <row r="15" spans="1:2">
      <c r="A15" s="10">
        <v>46043</v>
      </c>
      <c r="B15" t="s">
        <v>751</v>
      </c>
    </row>
    <row r="16" spans="1:2">
      <c r="A16" s="10">
        <v>46048</v>
      </c>
      <c r="B16" t="s">
        <v>823</v>
      </c>
    </row>
    <row r="17" spans="1:2">
      <c r="A17" s="10">
        <v>46185</v>
      </c>
      <c r="B17" t="s">
        <v>1099</v>
      </c>
    </row>
    <row r="18" spans="1:2">
      <c r="A18" s="10">
        <v>46237</v>
      </c>
      <c r="B18" t="s">
        <v>1124</v>
      </c>
    </row>
    <row r="19" spans="1:2">
      <c r="A19" s="10">
        <v>46238</v>
      </c>
      <c r="B19" t="s">
        <v>1133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vt:i4>
      </vt:variant>
    </vt:vector>
  </HeadingPairs>
  <TitlesOfParts>
    <vt:vector size="19" baseType="lpstr">
      <vt:lpstr>Cover</vt:lpstr>
      <vt:lpstr>Orientation</vt:lpstr>
      <vt:lpstr>Summary1</vt:lpstr>
      <vt:lpstr>Summary2</vt:lpstr>
      <vt:lpstr>Unreserved</vt:lpstr>
      <vt:lpstr>Infra</vt:lpstr>
      <vt:lpstr>Progress</vt:lpstr>
      <vt:lpstr>Visa Supply</vt:lpstr>
      <vt:lpstr>Pre-RIA China</vt:lpstr>
      <vt:lpstr>Pre-RIA India</vt:lpstr>
      <vt:lpstr>Derivatives</vt:lpstr>
      <vt:lpstr>Post-RIA</vt:lpstr>
      <vt:lpstr>Pre-RIA Data</vt:lpstr>
      <vt:lpstr>VB Log</vt:lpstr>
      <vt:lpstr>Notes</vt:lpstr>
      <vt:lpstr>Cover!Print_Area</vt:lpstr>
      <vt:lpstr>Infra!Print_Area</vt:lpstr>
      <vt:lpstr>'Pre-RIA China'!Print_Area</vt:lpstr>
      <vt:lpstr>'Pre-RIA India'!Print_Area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Suzanne Lazicki</dc:creator>
  <cp:lastModifiedBy>Suzanne Lazicki</cp:lastModifiedBy>
  <cp:lastPrinted>2025-02-20T02:18:04Z</cp:lastPrinted>
  <dcterms:created xsi:type="dcterms:W3CDTF">2025-01-12T20:46:44Z</dcterms:created>
  <dcterms:modified xsi:type="dcterms:W3CDTF">2026-08-07T23:03:34Z</dcterms:modified>
</cp:coreProperties>
</file>