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aily AUM Predictions\Automated\"/>
    </mc:Choice>
  </mc:AlternateContent>
  <xr:revisionPtr revIDLastSave="0" documentId="13_ncr:1_{4C37E718-5991-43C7-8457-027E75C479A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C3" i="2"/>
  <c r="E6" i="2"/>
  <c r="E7" i="2"/>
  <c r="E8" i="2"/>
  <c r="E9" i="2"/>
  <c r="E10" i="2"/>
  <c r="E11" i="2"/>
  <c r="E12" i="2"/>
  <c r="E13" i="2"/>
  <c r="E14" i="2"/>
  <c r="E15" i="2"/>
  <c r="E16" i="2"/>
  <c r="E17" i="2"/>
  <c r="L6" i="2" l="1"/>
  <c r="L7" i="2"/>
  <c r="L8" i="2"/>
  <c r="L9" i="2"/>
  <c r="L10" i="2"/>
  <c r="L11" i="2"/>
  <c r="L12" i="2"/>
  <c r="L13" i="2"/>
  <c r="L14" i="2"/>
  <c r="L15" i="2"/>
  <c r="L16" i="2"/>
  <c r="L17" i="2"/>
  <c r="L5" i="2"/>
  <c r="J15" i="2"/>
  <c r="J16" i="2"/>
  <c r="J17" i="2"/>
  <c r="J6" i="2"/>
  <c r="J7" i="2"/>
  <c r="J8" i="2"/>
  <c r="J9" i="2"/>
  <c r="J10" i="2"/>
  <c r="J11" i="2"/>
  <c r="J12" i="2"/>
  <c r="J13" i="2"/>
  <c r="J14" i="2"/>
  <c r="J5" i="2"/>
  <c r="C2" i="2" l="1"/>
  <c r="J2" i="2"/>
  <c r="E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5" i="2"/>
  <c r="G11" i="2" l="1"/>
  <c r="G13" i="2"/>
  <c r="L18" i="2"/>
  <c r="K21" i="2" s="1"/>
  <c r="J18" i="2"/>
  <c r="K20" i="2" s="1"/>
  <c r="N17" i="2"/>
  <c r="G17" i="2"/>
  <c r="N16" i="2"/>
  <c r="G16" i="2"/>
  <c r="N15" i="2"/>
  <c r="G15" i="2"/>
  <c r="N14" i="2"/>
  <c r="G14" i="2"/>
  <c r="N13" i="2"/>
  <c r="N12" i="2"/>
  <c r="G12" i="2"/>
  <c r="N11" i="2"/>
  <c r="N10" i="2"/>
  <c r="G10" i="2"/>
  <c r="N9" i="2"/>
  <c r="G9" i="2"/>
  <c r="N8" i="2"/>
  <c r="G8" i="2"/>
  <c r="N7" i="2"/>
  <c r="G7" i="2"/>
  <c r="N6" i="2"/>
  <c r="G6" i="2"/>
  <c r="N5" i="2"/>
  <c r="M5" i="2"/>
  <c r="K5" i="2"/>
  <c r="G5" i="2"/>
  <c r="H5" i="2" s="1"/>
  <c r="F5" i="2"/>
  <c r="F6" i="2" s="1"/>
  <c r="F7" i="2" s="1"/>
  <c r="F8" i="2" s="1"/>
  <c r="F9" i="2" s="1"/>
  <c r="F10" i="2" s="1"/>
  <c r="D5" i="2"/>
  <c r="D6" i="2" s="1"/>
  <c r="D7" i="2" s="1"/>
  <c r="D8" i="2" s="1"/>
  <c r="D9" i="2" s="1"/>
  <c r="D10" i="2" s="1"/>
  <c r="D11" i="2" s="1"/>
  <c r="D12" i="2" s="1"/>
  <c r="P10" i="2" l="1"/>
  <c r="M6" i="2"/>
  <c r="K6" i="2"/>
  <c r="P11" i="2"/>
  <c r="P15" i="2"/>
  <c r="E18" i="2"/>
  <c r="T5" i="2" s="1"/>
  <c r="I10" i="2"/>
  <c r="F11" i="2"/>
  <c r="F12" i="2" s="1"/>
  <c r="F13" i="2" s="1"/>
  <c r="F14" i="2" s="1"/>
  <c r="F15" i="2" s="1"/>
  <c r="F16" i="2" s="1"/>
  <c r="I13" i="2"/>
  <c r="C18" i="2"/>
  <c r="S5" i="2" s="1"/>
  <c r="I14" i="2"/>
  <c r="D13" i="2"/>
  <c r="D14" i="2" s="1"/>
  <c r="D15" i="2" s="1"/>
  <c r="D16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I9" i="2"/>
  <c r="I6" i="2"/>
  <c r="P7" i="2"/>
  <c r="P8" i="2"/>
  <c r="P14" i="2"/>
  <c r="P16" i="2"/>
  <c r="I17" i="2"/>
  <c r="N18" i="2"/>
  <c r="G18" i="2"/>
  <c r="P12" i="2"/>
  <c r="I7" i="2"/>
  <c r="I11" i="2"/>
  <c r="I15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P9" i="2"/>
  <c r="P13" i="2"/>
  <c r="P17" i="2"/>
  <c r="I8" i="2"/>
  <c r="I12" i="2"/>
  <c r="I16" i="2"/>
  <c r="P6" i="2"/>
  <c r="T6" i="2" l="1"/>
  <c r="S6" i="2"/>
  <c r="M7" i="2"/>
  <c r="T7" i="2" s="1"/>
  <c r="F17" i="2"/>
  <c r="D17" i="2"/>
  <c r="U5" i="2"/>
  <c r="K7" i="2"/>
  <c r="S7" i="2" s="1"/>
  <c r="N29" i="1"/>
  <c r="N28" i="1"/>
  <c r="U7" i="2" l="1"/>
  <c r="U6" i="2"/>
  <c r="M8" i="2"/>
  <c r="T8" i="2" s="1"/>
  <c r="K8" i="2"/>
  <c r="S8" i="2" s="1"/>
  <c r="U8" i="2" s="1"/>
  <c r="P29" i="1"/>
  <c r="E30" i="1"/>
  <c r="C30" i="1"/>
  <c r="G29" i="1"/>
  <c r="G28" i="1"/>
  <c r="N27" i="1"/>
  <c r="P28" i="1" s="1"/>
  <c r="G27" i="1"/>
  <c r="G26" i="1"/>
  <c r="N25" i="1"/>
  <c r="G25" i="1"/>
  <c r="N24" i="1"/>
  <c r="G24" i="1"/>
  <c r="N23" i="1"/>
  <c r="G23" i="1"/>
  <c r="N22" i="1"/>
  <c r="G22" i="1"/>
  <c r="N21" i="1"/>
  <c r="G21" i="1"/>
  <c r="N20" i="1"/>
  <c r="G20" i="1"/>
  <c r="N19" i="1"/>
  <c r="G19" i="1"/>
  <c r="N18" i="1"/>
  <c r="G18" i="1"/>
  <c r="N17" i="1"/>
  <c r="G17" i="1"/>
  <c r="N16" i="1"/>
  <c r="G16" i="1"/>
  <c r="N15" i="1"/>
  <c r="G15" i="1"/>
  <c r="N14" i="1"/>
  <c r="G14" i="1"/>
  <c r="N13" i="1"/>
  <c r="G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M5" i="1"/>
  <c r="L30" i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D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V5" i="1"/>
  <c r="M9" i="2"/>
  <c r="T9" i="2" s="1"/>
  <c r="W5" i="1"/>
  <c r="L34" i="1"/>
  <c r="S12" i="1"/>
  <c r="K9" i="2"/>
  <c r="S9" i="2" s="1"/>
  <c r="M6" i="1"/>
  <c r="K6" i="1"/>
  <c r="F25" i="1"/>
  <c r="F26" i="1" s="1"/>
  <c r="F27" i="1" s="1"/>
  <c r="F28" i="1" s="1"/>
  <c r="F29" i="1" s="1"/>
  <c r="I9" i="1"/>
  <c r="I11" i="1"/>
  <c r="I27" i="1"/>
  <c r="I8" i="1"/>
  <c r="I28" i="1"/>
  <c r="I12" i="1"/>
  <c r="I16" i="1"/>
  <c r="I24" i="1"/>
  <c r="I15" i="1"/>
  <c r="I19" i="1"/>
  <c r="I6" i="1"/>
  <c r="I13" i="1"/>
  <c r="I7" i="1"/>
  <c r="I18" i="1"/>
  <c r="I22" i="1"/>
  <c r="G30" i="1"/>
  <c r="I29" i="1"/>
  <c r="I17" i="1"/>
  <c r="I21" i="1"/>
  <c r="I25" i="1"/>
  <c r="I23" i="1"/>
  <c r="I26" i="1"/>
  <c r="I20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I10" i="1"/>
  <c r="I14" i="1"/>
  <c r="P8" i="1"/>
  <c r="P10" i="1"/>
  <c r="P12" i="1"/>
  <c r="P14" i="1"/>
  <c r="P16" i="1"/>
  <c r="P18" i="1"/>
  <c r="P20" i="1"/>
  <c r="P22" i="1"/>
  <c r="P24" i="1"/>
  <c r="P7" i="1"/>
  <c r="P9" i="1"/>
  <c r="P11" i="1"/>
  <c r="P13" i="1"/>
  <c r="P15" i="1"/>
  <c r="P17" i="1"/>
  <c r="P19" i="1"/>
  <c r="P21" i="1"/>
  <c r="P23" i="1"/>
  <c r="P25" i="1"/>
  <c r="N26" i="1"/>
  <c r="P27" i="1" s="1"/>
  <c r="J30" i="1"/>
  <c r="N5" i="1"/>
  <c r="U9" i="2" l="1"/>
  <c r="M10" i="2"/>
  <c r="T10" i="2" s="1"/>
  <c r="X5" i="1"/>
  <c r="D28" i="1"/>
  <c r="L33" i="1"/>
  <c r="L35" i="1" s="1"/>
  <c r="S11" i="1"/>
  <c r="K10" i="2"/>
  <c r="S10" i="2" s="1"/>
  <c r="K22" i="2"/>
  <c r="M7" i="1"/>
  <c r="W6" i="1"/>
  <c r="K7" i="1"/>
  <c r="V6" i="1"/>
  <c r="N30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P6" i="1"/>
  <c r="P26" i="1"/>
  <c r="U10" i="2" l="1"/>
  <c r="M11" i="2"/>
  <c r="D29" i="1"/>
  <c r="K11" i="2"/>
  <c r="M8" i="1"/>
  <c r="W7" i="1"/>
  <c r="X6" i="1"/>
  <c r="K8" i="1"/>
  <c r="V7" i="1"/>
  <c r="M12" i="2" l="1"/>
  <c r="K12" i="2"/>
  <c r="X7" i="1"/>
  <c r="W8" i="1"/>
  <c r="M9" i="1"/>
  <c r="V8" i="1"/>
  <c r="K9" i="1"/>
  <c r="M13" i="2" l="1"/>
  <c r="K13" i="2"/>
  <c r="X8" i="1"/>
  <c r="M10" i="1"/>
  <c r="W9" i="1"/>
  <c r="K10" i="1"/>
  <c r="V9" i="1"/>
  <c r="M14" i="2" l="1"/>
  <c r="K14" i="2"/>
  <c r="X9" i="1"/>
  <c r="M11" i="1"/>
  <c r="W10" i="1"/>
  <c r="V10" i="1"/>
  <c r="K11" i="1"/>
  <c r="M15" i="2" l="1"/>
  <c r="K15" i="2"/>
  <c r="X10" i="1"/>
  <c r="M12" i="1"/>
  <c r="W11" i="1"/>
  <c r="K12" i="1"/>
  <c r="V11" i="1"/>
  <c r="S13" i="1"/>
  <c r="M16" i="2" l="1"/>
  <c r="K16" i="2"/>
  <c r="X11" i="1"/>
  <c r="K13" i="1"/>
  <c r="V12" i="1"/>
  <c r="W12" i="1"/>
  <c r="M13" i="1"/>
  <c r="N20" i="2" l="1"/>
  <c r="M17" i="2"/>
  <c r="N21" i="2"/>
  <c r="K17" i="2"/>
  <c r="X12" i="1"/>
  <c r="K14" i="1"/>
  <c r="V13" i="1"/>
  <c r="W13" i="1"/>
  <c r="M14" i="1"/>
  <c r="N22" i="2" l="1"/>
  <c r="Y5" i="2"/>
  <c r="X5" i="2"/>
  <c r="X13" i="1"/>
  <c r="K15" i="1"/>
  <c r="V14" i="1"/>
  <c r="W14" i="1"/>
  <c r="M15" i="1"/>
  <c r="Z5" i="2" l="1"/>
  <c r="X14" i="1"/>
  <c r="M16" i="1"/>
  <c r="W15" i="1"/>
  <c r="K16" i="1"/>
  <c r="V15" i="1"/>
  <c r="X15" i="1" l="1"/>
  <c r="M17" i="1"/>
  <c r="W16" i="1"/>
  <c r="K17" i="1"/>
  <c r="V16" i="1"/>
  <c r="X16" i="1" l="1"/>
  <c r="M18" i="1"/>
  <c r="W17" i="1"/>
  <c r="K18" i="1"/>
  <c r="V17" i="1"/>
  <c r="D34" i="1"/>
  <c r="D33" i="1"/>
  <c r="X17" i="1" l="1"/>
  <c r="M19" i="1"/>
  <c r="W18" i="1"/>
  <c r="K19" i="1"/>
  <c r="V18" i="1"/>
  <c r="X18" i="1" l="1"/>
  <c r="M20" i="1"/>
  <c r="W19" i="1"/>
  <c r="K20" i="1"/>
  <c r="V19" i="1"/>
  <c r="X19" i="1" l="1"/>
  <c r="M21" i="1"/>
  <c r="W20" i="1"/>
  <c r="K21" i="1"/>
  <c r="V20" i="1"/>
  <c r="X20" i="1" l="1"/>
  <c r="M22" i="1"/>
  <c r="W21" i="1"/>
  <c r="K22" i="1"/>
  <c r="V21" i="1"/>
  <c r="X21" i="1" l="1"/>
  <c r="M23" i="1"/>
  <c r="W22" i="1"/>
  <c r="K23" i="1"/>
  <c r="V22" i="1"/>
  <c r="X22" i="1" l="1"/>
  <c r="M24" i="1"/>
  <c r="W23" i="1"/>
  <c r="K24" i="1"/>
  <c r="V23" i="1"/>
  <c r="X23" i="1" l="1"/>
  <c r="M25" i="1"/>
  <c r="W24" i="1"/>
  <c r="K25" i="1"/>
  <c r="V24" i="1"/>
  <c r="X24" i="1" l="1"/>
  <c r="M26" i="1"/>
  <c r="W25" i="1"/>
  <c r="K26" i="1"/>
  <c r="V25" i="1"/>
  <c r="X25" i="1" l="1"/>
  <c r="M27" i="1"/>
  <c r="W26" i="1"/>
  <c r="K27" i="1"/>
  <c r="V26" i="1"/>
  <c r="M28" i="1" l="1"/>
  <c r="W27" i="1"/>
  <c r="K28" i="1"/>
  <c r="V27" i="1"/>
  <c r="X26" i="1"/>
  <c r="X27" i="1" l="1"/>
  <c r="M29" i="1"/>
  <c r="W28" i="1"/>
  <c r="Z5" i="1" s="1"/>
  <c r="K29" i="1"/>
  <c r="V28" i="1"/>
  <c r="X28" i="1" l="1"/>
  <c r="Y5" i="1"/>
  <c r="AA5" i="1" s="1"/>
</calcChain>
</file>

<file path=xl/sharedStrings.xml><?xml version="1.0" encoding="utf-8"?>
<sst xmlns="http://schemas.openxmlformats.org/spreadsheetml/2006/main" count="131" uniqueCount="55">
  <si>
    <t>Time</t>
  </si>
  <si>
    <t>DDR</t>
  </si>
  <si>
    <t>Cumm DDR</t>
  </si>
  <si>
    <t>Coll</t>
  </si>
  <si>
    <t>Cumm Coll</t>
  </si>
  <si>
    <t>Aum</t>
  </si>
  <si>
    <t>Cumm AUM</t>
  </si>
  <si>
    <t>Change %</t>
  </si>
  <si>
    <t>AUM</t>
  </si>
  <si>
    <t>1. Till 12 pm</t>
  </si>
  <si>
    <t>2. 12 to 12:30 pm</t>
  </si>
  <si>
    <t>3. 12:30 to 1 pm</t>
  </si>
  <si>
    <t>4. 1 to 1:30 pm</t>
  </si>
  <si>
    <t>5. 1:30 to 2 pm</t>
  </si>
  <si>
    <t>6. 2 to 2:30 pm</t>
  </si>
  <si>
    <t>7. 2:30 to 3 pm</t>
  </si>
  <si>
    <t>8. 3 to 3:30 pm</t>
  </si>
  <si>
    <t>9. 3:30 to 4 pm</t>
  </si>
  <si>
    <t>10. 4 to 4:30 pm</t>
  </si>
  <si>
    <t>11. 4:30 to 5 pm</t>
  </si>
  <si>
    <t>12. 5 to 5:30 pm</t>
  </si>
  <si>
    <t>13. 5:30 to 6 pm</t>
  </si>
  <si>
    <t>14. 6 to 6:30 pm</t>
  </si>
  <si>
    <t>15. 6:30 to 7 pm</t>
  </si>
  <si>
    <t>16. 7 to 7:30 pm</t>
  </si>
  <si>
    <t>17. 7:30 to 8 pm</t>
  </si>
  <si>
    <t>18. 8 to 8:30 pm</t>
  </si>
  <si>
    <t>19. 8:30 to 9 pm</t>
  </si>
  <si>
    <t>20. 9 to 9:30 pm</t>
  </si>
  <si>
    <t>21. 9:30 to 10 pm</t>
  </si>
  <si>
    <t>22. 10 to 10:30 pm</t>
  </si>
  <si>
    <t>23. 10:30 to 11 pm</t>
  </si>
  <si>
    <t>24. 11 to 11:30 pm</t>
  </si>
  <si>
    <t>25. 11:30 to 12 am</t>
  </si>
  <si>
    <t>2. 12 to 1 pm</t>
  </si>
  <si>
    <t>3. 1 to 2 pm</t>
  </si>
  <si>
    <t>4. 2 to 3 pm</t>
  </si>
  <si>
    <t>5. 3 to 4 pm</t>
  </si>
  <si>
    <t>6. 4 to 5 pm</t>
  </si>
  <si>
    <t>7. 5 to 6 pm</t>
  </si>
  <si>
    <t>8. 6 to 7 pm</t>
  </si>
  <si>
    <t>9. 7 to 8 pm</t>
  </si>
  <si>
    <t>10. 8 to 9 pm</t>
  </si>
  <si>
    <t>11. 9 to 10 pm</t>
  </si>
  <si>
    <t>12. 10 to 11 pm</t>
  </si>
  <si>
    <t>13. 11 to 12 am</t>
  </si>
  <si>
    <t>Expected Trend</t>
  </si>
  <si>
    <t>Acg Pred Coll</t>
  </si>
  <si>
    <t>Avg Pred. DDR</t>
  </si>
  <si>
    <t>OLD</t>
  </si>
  <si>
    <t>New</t>
  </si>
  <si>
    <t>Exp DDR</t>
  </si>
  <si>
    <t>Exp Coll</t>
  </si>
  <si>
    <t>Exp AUM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</si>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</sst>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3" fontId="0" fillId="0" borderId="1" xfId="0" applyNumberFormat="1" applyBorder="1"/>
    <xf numFmtId="0" fontId="0" fillId="0" borderId="1" xfId="0" applyBorder="1"/>
    <xf numFmtId="9" fontId="0" fillId="0" borderId="1" xfId="0" applyNumberFormat="1" applyBorder="1"/>
    <xf numFmtId="164" fontId="2" fillId="3" borderId="1" xfId="1" applyNumberFormat="1" applyFont="1" applyFill="1" applyBorder="1"/>
    <xf numFmtId="164" fontId="2" fillId="4" borderId="1" xfId="1" applyNumberFormat="1" applyFont="1" applyFill="1" applyBorder="1"/>
    <xf numFmtId="164" fontId="0" fillId="5" borderId="1" xfId="0" applyNumberFormat="1" applyFill="1" applyBorder="1"/>
    <xf numFmtId="43" fontId="0" fillId="6" borderId="1" xfId="1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0" xfId="0" applyNumberFormat="1"/>
    <xf numFmtId="164" fontId="0" fillId="7" borderId="1" xfId="1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0" fontId="0" fillId="8" borderId="1" xfId="0" applyFill="1" applyBorder="1"/>
    <xf numFmtId="0" fontId="2" fillId="0" borderId="0" xfId="0" applyFont="1"/>
    <xf numFmtId="43" fontId="0" fillId="0" borderId="0" xfId="1" applyFont="1" applyFill="1" applyBorder="1"/>
    <xf numFmtId="43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43" fontId="0" fillId="0" borderId="1" xfId="0" applyNumberFormat="1" applyBorder="1"/>
    <xf numFmtId="0" fontId="0" fillId="0" borderId="2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64" fontId="2" fillId="2" borderId="1" xfId="1" applyNumberFormat="1" applyFont="1" applyFill="1" applyBorder="1"/>
    <xf numFmtId="165" fontId="0" fillId="0" borderId="1" xfId="1" applyNumberFormat="1" applyFont="1" applyBorder="1"/>
    <xf numFmtId="165" fontId="2" fillId="2" borderId="1" xfId="1" applyNumberFormat="1" applyFont="1" applyFill="1" applyBorder="1"/>
    <xf numFmtId="165" fontId="0" fillId="6" borderId="1" xfId="1" applyNumberFormat="1" applyFont="1" applyFill="1" applyBorder="1"/>
    <xf numFmtId="165" fontId="0" fillId="5" borderId="1" xfId="1" applyNumberFormat="1" applyFont="1" applyFill="1" applyBorder="1"/>
    <xf numFmtId="165" fontId="4" fillId="5" borderId="1" xfId="1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0" fontId="0" fillId="0" borderId="0" xfId="0" applyAlignment="1">
      <alignment horizontal="center" wrapText="1"/>
    </xf>
    <xf numFmtId="9" fontId="0" fillId="0" borderId="0" xfId="2" applyFont="1" applyBorder="1"/>
    <xf numFmtId="166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Sheet2!$U$5:$U$17</c:f>
              <c:numCache>
                <c:formatCode>_ * #,##0.0_ ;_ * \-#,##0.0_ ;_ * "-"??_ ;_ @_ </c:formatCode>
                <c:ptCount val="13"/>
                <c:pt idx="0">
                  <c:v>-8.2235925714426088</c:v>
                </c:pt>
                <c:pt idx="1">
                  <c:v>-6.3156222166035292</c:v>
                </c:pt>
                <c:pt idx="2">
                  <c:v>0.85595969302029573</c:v>
                </c:pt>
                <c:pt idx="3">
                  <c:v>1.4395604620188465</c:v>
                </c:pt>
                <c:pt idx="4">
                  <c:v>4.5724694332133637</c:v>
                </c:pt>
                <c:pt idx="5">
                  <c:v>9.045346177839285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F-466B-974B-EC6A458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74175"/>
        <c:axId val="1935827535"/>
      </c:lineChart>
      <c:catAx>
        <c:axId val="100227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27535"/>
        <c:crosses val="autoZero"/>
        <c:auto val="1"/>
        <c:lblAlgn val="ctr"/>
        <c:lblOffset val="100"/>
        <c:noMultiLvlLbl val="0"/>
      </c:catAx>
      <c:valAx>
        <c:axId val="19358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393700</xdr:colOff>
      <xdr:row>5</xdr:row>
      <xdr:rowOff>21590</xdr:rowOff>
    </xdr:from>
    <xdr:to>
      <xdr:col>32</xdr:col>
      <xdr:colOff>571500</xdr:colOff>
      <xdr:row>20</xdr:row>
      <xdr:rowOff>21590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89765-8D12-4D14-A60D-C1357597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ily%20AUM%20Predictions\Automated\pivot.xlsx" TargetMode="External"/><Relationship Id="rId1" Type="http://schemas.openxmlformats.org/officeDocument/2006/relationships/externalLinkPath" Target="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_ddr"/>
      <sheetName val="old_coll"/>
      <sheetName val="new_ddr"/>
      <sheetName val="new_coll"/>
      <sheetName val="old_ddr_pivot"/>
      <sheetName val="old_coll_pivot"/>
      <sheetName val="new_ddr_pivot"/>
      <sheetName val="new_coll_pivot"/>
    </sheetNames>
    <sheetDataSet>
      <sheetData sheetId="0">
        <row r="2">
          <cell r="Y2" t="str">
            <v>2024-09-25</v>
          </cell>
        </row>
      </sheetData>
      <sheetData sheetId="1"/>
      <sheetData sheetId="2">
        <row r="2">
          <cell r="Y2" t="str">
            <v>2025-01-29</v>
          </cell>
        </row>
      </sheetData>
      <sheetData sheetId="3"/>
      <sheetData sheetId="4">
        <row r="1">
          <cell r="A1" t="str">
            <v>Batches</v>
          </cell>
          <cell r="B1" t="str">
            <v>Drawdown Amount</v>
          </cell>
        </row>
        <row r="2">
          <cell r="A2" t="str">
            <v>1. Till 12 pm</v>
          </cell>
          <cell r="B2">
            <v>104103098.01000001</v>
          </cell>
        </row>
        <row r="3">
          <cell r="A3" t="str">
            <v>10. 8 to 9 pm</v>
          </cell>
          <cell r="B3">
            <v>33038749.359999999</v>
          </cell>
        </row>
        <row r="4">
          <cell r="A4" t="str">
            <v>11. 9 to 10 pm</v>
          </cell>
          <cell r="B4">
            <v>25187460.210000001</v>
          </cell>
        </row>
        <row r="5">
          <cell r="A5" t="str">
            <v>12. 10 to 11 pm</v>
          </cell>
          <cell r="B5">
            <v>13167262.49</v>
          </cell>
        </row>
        <row r="6">
          <cell r="A6" t="str">
            <v>13. 11 to 12 am</v>
          </cell>
          <cell r="B6">
            <v>2808583</v>
          </cell>
        </row>
        <row r="7">
          <cell r="A7" t="str">
            <v>2. 12 to 1 pm</v>
          </cell>
          <cell r="B7">
            <v>71198404.840000004</v>
          </cell>
        </row>
        <row r="8">
          <cell r="A8" t="str">
            <v>3. 1 to 2 pm</v>
          </cell>
          <cell r="B8">
            <v>66466003.479999997</v>
          </cell>
        </row>
        <row r="9">
          <cell r="A9" t="str">
            <v>4. 2 to 3 pm</v>
          </cell>
          <cell r="B9">
            <v>76135223.5</v>
          </cell>
        </row>
        <row r="10">
          <cell r="A10" t="str">
            <v>5. 3 to 4 pm</v>
          </cell>
          <cell r="B10">
            <v>71063484.579999998</v>
          </cell>
        </row>
        <row r="11">
          <cell r="A11" t="str">
            <v>6. 4 to 5 pm</v>
          </cell>
          <cell r="B11">
            <v>84326318.019999996</v>
          </cell>
        </row>
        <row r="12">
          <cell r="A12" t="str">
            <v>7. 5 to 6 pm</v>
          </cell>
          <cell r="B12">
            <v>65974681.850000001</v>
          </cell>
        </row>
        <row r="13">
          <cell r="A13" t="str">
            <v>8. 6 to 7 pm</v>
          </cell>
          <cell r="B13">
            <v>80368468.609999999</v>
          </cell>
        </row>
        <row r="14">
          <cell r="A14" t="str">
            <v>9. 7 to 8 pm</v>
          </cell>
          <cell r="B14">
            <v>56341171</v>
          </cell>
        </row>
      </sheetData>
      <sheetData sheetId="5">
        <row r="1">
          <cell r="A1" t="str">
            <v>Batches</v>
          </cell>
          <cell r="B1" t="str">
            <v>Total amount</v>
          </cell>
        </row>
        <row r="2">
          <cell r="A2" t="str">
            <v>1. Till 12 pm</v>
          </cell>
          <cell r="B2">
            <v>77930075.019999996</v>
          </cell>
        </row>
        <row r="3">
          <cell r="A3" t="str">
            <v>10. 8 to 9 pm</v>
          </cell>
          <cell r="B3">
            <v>24547667.43</v>
          </cell>
        </row>
        <row r="4">
          <cell r="A4" t="str">
            <v>11. 9 to 10 pm</v>
          </cell>
          <cell r="B4">
            <v>28701149.699999999</v>
          </cell>
        </row>
        <row r="5">
          <cell r="A5" t="str">
            <v>12. 10 to 11 pm</v>
          </cell>
          <cell r="B5">
            <v>21125667.41</v>
          </cell>
        </row>
        <row r="6">
          <cell r="A6" t="str">
            <v>13. 11 to 12 am</v>
          </cell>
          <cell r="B6">
            <v>10007424.880000001</v>
          </cell>
        </row>
        <row r="7">
          <cell r="A7" t="str">
            <v>2. 12 to 1 pm</v>
          </cell>
          <cell r="B7">
            <v>38658110.469999999</v>
          </cell>
        </row>
        <row r="8">
          <cell r="A8" t="str">
            <v>3. 1 to 2 pm</v>
          </cell>
          <cell r="B8">
            <v>50812169.159999996</v>
          </cell>
        </row>
        <row r="9">
          <cell r="A9" t="str">
            <v>4. 2 to 3 pm</v>
          </cell>
          <cell r="B9">
            <v>61129156.600000001</v>
          </cell>
        </row>
        <row r="10">
          <cell r="A10" t="str">
            <v>5. 3 to 4 pm</v>
          </cell>
          <cell r="B10">
            <v>66007776.93</v>
          </cell>
        </row>
        <row r="11">
          <cell r="A11" t="str">
            <v>6. 4 to 5 pm</v>
          </cell>
          <cell r="B11">
            <v>104168315.88</v>
          </cell>
        </row>
        <row r="12">
          <cell r="A12" t="str">
            <v>7. 5 to 6 pm</v>
          </cell>
          <cell r="B12">
            <v>76163961.430000007</v>
          </cell>
        </row>
        <row r="13">
          <cell r="A13" t="str">
            <v>8. 6 to 7 pm</v>
          </cell>
          <cell r="B13">
            <v>57851803.479999997</v>
          </cell>
        </row>
        <row r="14">
          <cell r="A14" t="str">
            <v>9. 7 to 8 pm</v>
          </cell>
          <cell r="B14">
            <v>58673187.689999998</v>
          </cell>
        </row>
      </sheetData>
      <sheetData sheetId="6">
        <row r="1">
          <cell r="A1" t="str">
            <v>Batches</v>
          </cell>
          <cell r="B1" t="str">
            <v>Drawdown Amount</v>
          </cell>
        </row>
        <row r="2">
          <cell r="A2" t="str">
            <v>1. Till 12 pm</v>
          </cell>
          <cell r="B2">
            <v>138393044.94999999</v>
          </cell>
        </row>
        <row r="3">
          <cell r="A3" t="str">
            <v>2. 12 to 1 pm</v>
          </cell>
          <cell r="B3">
            <v>88244256.069999993</v>
          </cell>
        </row>
        <row r="4">
          <cell r="A4" t="str">
            <v>3. 1 to 2 pm</v>
          </cell>
          <cell r="B4">
            <v>92260994.099999994</v>
          </cell>
        </row>
        <row r="5">
          <cell r="A5" t="str">
            <v>4. 2 to 3 pm</v>
          </cell>
          <cell r="B5">
            <v>34736898.549999997</v>
          </cell>
        </row>
      </sheetData>
      <sheetData sheetId="7">
        <row r="1">
          <cell r="A1" t="str">
            <v>Batches</v>
          </cell>
          <cell r="B1" t="str">
            <v>Total amount</v>
          </cell>
        </row>
        <row r="2">
          <cell r="A2" t="str">
            <v>1. Till 12 pm</v>
          </cell>
          <cell r="B2">
            <v>124488593.89</v>
          </cell>
        </row>
        <row r="3">
          <cell r="A3" t="str">
            <v>2. 12 to 1 pm</v>
          </cell>
          <cell r="B3">
            <v>53732899.609999999</v>
          </cell>
        </row>
        <row r="4">
          <cell r="A4" t="str">
            <v>3. 1 to 2 pm</v>
          </cell>
          <cell r="B4">
            <v>64774593.270000003</v>
          </cell>
        </row>
        <row r="5">
          <cell r="A5" t="str">
            <v>4. 2 to 3 pm</v>
          </cell>
          <cell r="B5">
            <v>34341091.950000003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AA35"/>
  <sheetViews>
    <sheetView workbookViewId="0">
      <selection activeCell="C5" sqref="C5"/>
    </sheetView>
  </sheetViews>
  <sheetFormatPr defaultRowHeight="14.5" x14ac:dyDescent="0.35"/>
  <cols>
    <col min="1" max="1" width="13.54296875" bestFit="1" customWidth="1"/>
    <col min="2" max="2" width="16.36328125" bestFit="1" customWidth="1"/>
    <col min="3" max="3" width="12.54296875" bestFit="1" customWidth="1"/>
    <col min="4" max="4" width="11.36328125" bestFit="1" customWidth="1"/>
    <col min="5" max="5" width="12.54296875" bestFit="1" customWidth="1"/>
    <col min="6" max="6" width="11.36328125" bestFit="1" customWidth="1"/>
    <col min="7" max="7" width="12.54296875" bestFit="1" customWidth="1"/>
    <col min="8" max="8" width="11.36328125" bestFit="1" customWidth="1"/>
    <col min="9" max="9" width="9.1796875" bestFit="1" customWidth="1"/>
    <col min="10" max="10" width="12.54296875" bestFit="1" customWidth="1"/>
    <col min="11" max="11" width="11.36328125" bestFit="1" customWidth="1"/>
    <col min="12" max="12" width="12.54296875" bestFit="1" customWidth="1"/>
    <col min="13" max="13" width="11.36328125" bestFit="1" customWidth="1"/>
    <col min="14" max="14" width="12.54296875" bestFit="1" customWidth="1"/>
    <col min="15" max="15" width="11.36328125" bestFit="1" customWidth="1"/>
    <col min="16" max="16" width="9.1796875" bestFit="1" customWidth="1"/>
    <col min="18" max="18" width="13.54296875" bestFit="1" customWidth="1"/>
    <col min="19" max="19" width="14.90625" bestFit="1" customWidth="1"/>
    <col min="21" max="21" width="16.36328125" bestFit="1" customWidth="1"/>
    <col min="22" max="27" width="14.90625" bestFit="1" customWidth="1"/>
  </cols>
  <sheetData>
    <row r="3" spans="2:27" x14ac:dyDescent="0.35">
      <c r="B3" s="1"/>
      <c r="C3" s="42" t="s">
        <v>49</v>
      </c>
      <c r="D3" s="42"/>
      <c r="E3" s="42"/>
      <c r="F3" s="42"/>
      <c r="G3" s="42"/>
      <c r="H3" s="42"/>
      <c r="I3" s="42"/>
      <c r="J3" s="43" t="s">
        <v>50</v>
      </c>
      <c r="K3" s="43"/>
      <c r="L3" s="43"/>
      <c r="M3" s="43"/>
      <c r="N3" s="43"/>
      <c r="O3" s="43"/>
      <c r="P3" s="43"/>
    </row>
    <row r="4" spans="2:27" x14ac:dyDescent="0.35">
      <c r="B4" s="1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14" t="s">
        <v>1</v>
      </c>
      <c r="K4" s="14" t="s">
        <v>2</v>
      </c>
      <c r="L4" s="14" t="s">
        <v>3</v>
      </c>
      <c r="M4" s="14" t="s">
        <v>4</v>
      </c>
      <c r="N4" s="14" t="s">
        <v>8</v>
      </c>
      <c r="O4" s="14" t="s">
        <v>6</v>
      </c>
      <c r="P4" s="14" t="s">
        <v>7</v>
      </c>
      <c r="U4" s="8"/>
      <c r="V4" s="8" t="s">
        <v>1</v>
      </c>
      <c r="W4" s="8" t="s">
        <v>3</v>
      </c>
      <c r="X4" s="8" t="s">
        <v>5</v>
      </c>
    </row>
    <row r="5" spans="2:27" x14ac:dyDescent="0.35">
      <c r="B5" s="6" t="s">
        <v>9</v>
      </c>
      <c r="C5" s="7">
        <v>80814687.940000013</v>
      </c>
      <c r="D5" s="29">
        <f>C5</f>
        <v>80814687.940000013</v>
      </c>
      <c r="E5" s="30">
        <v>80836704.269999996</v>
      </c>
      <c r="F5" s="29">
        <f>E5</f>
        <v>80836704.269999996</v>
      </c>
      <c r="G5" s="28">
        <f>C5-E5</f>
        <v>-22016.329999983311</v>
      </c>
      <c r="H5" s="7">
        <f>G5</f>
        <v>-22016.329999983311</v>
      </c>
      <c r="I5" s="8"/>
      <c r="J5" s="7">
        <v>80814687.940000013</v>
      </c>
      <c r="L5" s="29">
        <v>80836704.269999996</v>
      </c>
      <c r="M5" s="7">
        <f>L5</f>
        <v>80836704.269999996</v>
      </c>
      <c r="N5" s="7" t="e">
        <f>#REF!-L5</f>
        <v>#REF!</v>
      </c>
      <c r="O5" s="7" t="e">
        <f>N5</f>
        <v>#REF!</v>
      </c>
      <c r="P5" s="8"/>
      <c r="Q5" s="16"/>
      <c r="R5" s="21"/>
      <c r="S5" s="22"/>
      <c r="U5" s="6" t="s">
        <v>9</v>
      </c>
      <c r="V5" s="26">
        <f>J5/D5*$C$30</f>
        <v>801144647.76999998</v>
      </c>
      <c r="W5" s="26">
        <f>M5/F5*$E$30</f>
        <v>569190604.31999981</v>
      </c>
      <c r="X5" s="26">
        <f>V5-W5</f>
        <v>231954043.45000017</v>
      </c>
      <c r="Y5" s="23">
        <f>AVERAGE(V5:V29)</f>
        <v>205326055.5561192</v>
      </c>
      <c r="Z5" s="23">
        <f>AVERAGE(W5:W29)</f>
        <v>184118607.96009585</v>
      </c>
      <c r="AA5" s="23">
        <f>Y5-Z5</f>
        <v>21207447.596023351</v>
      </c>
    </row>
    <row r="6" spans="2:27" x14ac:dyDescent="0.35">
      <c r="B6" s="6" t="s">
        <v>10</v>
      </c>
      <c r="C6" s="7">
        <v>34443243.669999994</v>
      </c>
      <c r="D6" s="29">
        <f>C6+D5</f>
        <v>115257931.61000001</v>
      </c>
      <c r="E6" s="30">
        <v>25001118.109999999</v>
      </c>
      <c r="F6" s="29">
        <f>E6+F5</f>
        <v>105837822.38</v>
      </c>
      <c r="G6" s="28">
        <f t="shared" ref="G6:G29" si="0">C6-E6</f>
        <v>9442125.5599999949</v>
      </c>
      <c r="H6" s="7">
        <f>G6+H5</f>
        <v>9420109.2300000116</v>
      </c>
      <c r="I6" s="9">
        <f>(G6-G5)/ABS(G5)</f>
        <v>429.86918755338206</v>
      </c>
      <c r="J6" s="25"/>
      <c r="K6" s="7">
        <f>J6+J5</f>
        <v>80814687.940000013</v>
      </c>
      <c r="L6" s="25"/>
      <c r="M6" s="7">
        <f>L6+M5</f>
        <v>80836704.269999996</v>
      </c>
      <c r="N6" s="7">
        <f t="shared" ref="N6:N29" si="1">J6-L6</f>
        <v>0</v>
      </c>
      <c r="O6" s="7" t="e">
        <f>N6+O5</f>
        <v>#REF!</v>
      </c>
      <c r="P6" s="9" t="e">
        <f>(N6-N5)/ABS(N5)</f>
        <v>#REF!</v>
      </c>
      <c r="Q6" s="16"/>
      <c r="R6" s="21"/>
      <c r="S6" s="22"/>
      <c r="U6" s="6" t="s">
        <v>10</v>
      </c>
      <c r="V6" s="26">
        <f t="shared" ref="V6:V11" si="2">K6/D6*$C$30</f>
        <v>561733616.07260036</v>
      </c>
      <c r="W6" s="26">
        <f t="shared" ref="W6:W11" si="3">M6/F6*$E$30</f>
        <v>434735820.522448</v>
      </c>
      <c r="X6" s="26">
        <f t="shared" ref="X6:X11" si="4">V6-W6</f>
        <v>126997795.55015236</v>
      </c>
    </row>
    <row r="7" spans="2:27" x14ac:dyDescent="0.35">
      <c r="B7" s="6" t="s">
        <v>11</v>
      </c>
      <c r="C7" s="7">
        <v>32576045.060000002</v>
      </c>
      <c r="D7" s="29">
        <f t="shared" ref="D7:D29" si="5">C7+D6</f>
        <v>147833976.67000002</v>
      </c>
      <c r="E7" s="30">
        <v>23235132.719999995</v>
      </c>
      <c r="F7" s="29">
        <f t="shared" ref="F7:F29" si="6">E7+F6</f>
        <v>129072955.09999999</v>
      </c>
      <c r="G7" s="28">
        <f t="shared" si="0"/>
        <v>9340912.3400000073</v>
      </c>
      <c r="H7" s="7">
        <f t="shared" ref="H7:H29" si="7">G7+H6</f>
        <v>18761021.570000019</v>
      </c>
      <c r="I7" s="9">
        <f t="shared" ref="I7:I29" si="8">(G7-G6)/ABS(G6)</f>
        <v>-1.0719325787062261E-2</v>
      </c>
      <c r="J7" s="25"/>
      <c r="K7" s="7">
        <f t="shared" ref="K7:K29" si="9">J7+K6</f>
        <v>80814687.940000013</v>
      </c>
      <c r="L7" s="25"/>
      <c r="M7" s="7">
        <f t="shared" ref="M7:M29" si="10">L7+M6</f>
        <v>80836704.269999996</v>
      </c>
      <c r="N7" s="7">
        <f t="shared" si="1"/>
        <v>0</v>
      </c>
      <c r="O7" s="7" t="e">
        <f t="shared" ref="O7:O29" si="11">N7+O6</f>
        <v>#REF!</v>
      </c>
      <c r="P7" s="9" t="e">
        <f t="shared" ref="P7:P29" si="12">(N7-N6)/ABS(N6)</f>
        <v>#DIV/0!</v>
      </c>
      <c r="Q7" s="16"/>
      <c r="R7" s="21"/>
      <c r="S7" s="22"/>
      <c r="U7" s="6" t="s">
        <v>11</v>
      </c>
      <c r="V7" s="26">
        <f t="shared" si="2"/>
        <v>437952466.42697084</v>
      </c>
      <c r="W7" s="26">
        <f t="shared" si="3"/>
        <v>356476633.84657729</v>
      </c>
      <c r="X7" s="26">
        <f t="shared" si="4"/>
        <v>81475832.580393553</v>
      </c>
    </row>
    <row r="8" spans="2:27" x14ac:dyDescent="0.35">
      <c r="B8" s="6" t="s">
        <v>12</v>
      </c>
      <c r="C8" s="7">
        <v>22418746.799999997</v>
      </c>
      <c r="D8" s="29">
        <f t="shared" si="5"/>
        <v>170252723.47000003</v>
      </c>
      <c r="E8" s="30">
        <v>45466350.039999999</v>
      </c>
      <c r="F8" s="29">
        <f t="shared" si="6"/>
        <v>174539305.13999999</v>
      </c>
      <c r="G8" s="28">
        <f t="shared" si="0"/>
        <v>-23047603.240000002</v>
      </c>
      <c r="H8" s="7">
        <f t="shared" si="7"/>
        <v>-4286581.6699999832</v>
      </c>
      <c r="I8" s="9">
        <f t="shared" si="8"/>
        <v>-3.4673824569902756</v>
      </c>
      <c r="J8" s="25"/>
      <c r="K8" s="7">
        <f t="shared" si="9"/>
        <v>80814687.940000013</v>
      </c>
      <c r="L8" s="25"/>
      <c r="M8" s="7">
        <f t="shared" si="10"/>
        <v>80836704.269999996</v>
      </c>
      <c r="N8" s="7">
        <f t="shared" si="1"/>
        <v>0</v>
      </c>
      <c r="O8" s="7" t="e">
        <f t="shared" si="11"/>
        <v>#REF!</v>
      </c>
      <c r="P8" s="9" t="e">
        <f t="shared" si="12"/>
        <v>#DIV/0!</v>
      </c>
      <c r="Q8" s="16"/>
      <c r="R8" s="21"/>
      <c r="S8" s="22"/>
      <c r="U8" s="6" t="s">
        <v>12</v>
      </c>
      <c r="V8" s="26">
        <f t="shared" si="2"/>
        <v>380283224.75406545</v>
      </c>
      <c r="W8" s="26">
        <f t="shared" si="3"/>
        <v>263616796.90297872</v>
      </c>
      <c r="X8" s="26">
        <f t="shared" si="4"/>
        <v>116666427.85108674</v>
      </c>
    </row>
    <row r="9" spans="2:27" x14ac:dyDescent="0.35">
      <c r="B9" s="6" t="s">
        <v>13</v>
      </c>
      <c r="C9" s="7">
        <v>34168023.280000001</v>
      </c>
      <c r="D9" s="29">
        <f t="shared" si="5"/>
        <v>204420746.75000003</v>
      </c>
      <c r="E9" s="30">
        <v>22218841.93</v>
      </c>
      <c r="F9" s="29">
        <f t="shared" si="6"/>
        <v>196758147.06999999</v>
      </c>
      <c r="G9" s="28">
        <f t="shared" si="0"/>
        <v>11949181.350000001</v>
      </c>
      <c r="H9" s="7">
        <f t="shared" si="7"/>
        <v>7662599.6800000183</v>
      </c>
      <c r="I9" s="9">
        <f t="shared" si="8"/>
        <v>1.5184565711918252</v>
      </c>
      <c r="J9" s="25"/>
      <c r="K9" s="7">
        <f t="shared" si="9"/>
        <v>80814687.940000013</v>
      </c>
      <c r="L9" s="25"/>
      <c r="M9" s="7">
        <f t="shared" si="10"/>
        <v>80836704.269999996</v>
      </c>
      <c r="N9" s="7">
        <f t="shared" si="1"/>
        <v>0</v>
      </c>
      <c r="O9" s="7" t="e">
        <f t="shared" si="11"/>
        <v>#REF!</v>
      </c>
      <c r="P9" s="9" t="e">
        <f t="shared" si="12"/>
        <v>#DIV/0!</v>
      </c>
      <c r="Q9" s="16"/>
      <c r="R9" s="21"/>
      <c r="S9" s="22"/>
      <c r="U9" s="6" t="s">
        <v>13</v>
      </c>
      <c r="V9" s="26">
        <f t="shared" si="2"/>
        <v>316720566.44775838</v>
      </c>
      <c r="W9" s="26">
        <f t="shared" si="3"/>
        <v>233847966.34778762</v>
      </c>
      <c r="X9" s="26">
        <f t="shared" si="4"/>
        <v>82872600.099970758</v>
      </c>
    </row>
    <row r="10" spans="2:27" x14ac:dyDescent="0.35">
      <c r="B10" s="6" t="s">
        <v>14</v>
      </c>
      <c r="C10" s="7">
        <v>41161108.489999995</v>
      </c>
      <c r="D10" s="29">
        <f t="shared" si="5"/>
        <v>245581855.24000001</v>
      </c>
      <c r="E10" s="30">
        <v>15173816.74</v>
      </c>
      <c r="F10" s="29">
        <f t="shared" si="6"/>
        <v>211931963.81</v>
      </c>
      <c r="G10" s="28">
        <f t="shared" si="0"/>
        <v>25987291.749999993</v>
      </c>
      <c r="H10" s="7">
        <f t="shared" si="7"/>
        <v>33649891.430000007</v>
      </c>
      <c r="I10" s="9">
        <f t="shared" si="8"/>
        <v>1.174817754356033</v>
      </c>
      <c r="J10" s="25"/>
      <c r="K10" s="7">
        <f t="shared" si="9"/>
        <v>80814687.940000013</v>
      </c>
      <c r="L10" s="25"/>
      <c r="M10" s="7">
        <f t="shared" si="10"/>
        <v>80836704.269999996</v>
      </c>
      <c r="N10" s="7">
        <f t="shared" si="1"/>
        <v>0</v>
      </c>
      <c r="O10" s="7" t="e">
        <f t="shared" si="11"/>
        <v>#REF!</v>
      </c>
      <c r="P10" s="9" t="e">
        <f t="shared" si="12"/>
        <v>#DIV/0!</v>
      </c>
      <c r="Q10" s="16"/>
      <c r="R10" s="21"/>
      <c r="S10" s="19"/>
      <c r="U10" s="6" t="s">
        <v>14</v>
      </c>
      <c r="V10" s="26">
        <f t="shared" si="2"/>
        <v>263636149.50730419</v>
      </c>
      <c r="W10" s="26">
        <f t="shared" si="3"/>
        <v>217105016.75871962</v>
      </c>
      <c r="X10" s="26">
        <f t="shared" si="4"/>
        <v>46531132.748584569</v>
      </c>
    </row>
    <row r="11" spans="2:27" x14ac:dyDescent="0.35">
      <c r="B11" s="6" t="s">
        <v>15</v>
      </c>
      <c r="C11" s="7">
        <v>39065664.99000001</v>
      </c>
      <c r="D11" s="29">
        <f t="shared" si="5"/>
        <v>284647520.23000002</v>
      </c>
      <c r="E11" s="30">
        <v>7395866.7799999993</v>
      </c>
      <c r="F11" s="29">
        <f t="shared" si="6"/>
        <v>219327830.59</v>
      </c>
      <c r="G11" s="28">
        <f t="shared" si="0"/>
        <v>31669798.210000008</v>
      </c>
      <c r="H11" s="7">
        <f t="shared" si="7"/>
        <v>65319689.640000015</v>
      </c>
      <c r="I11" s="9">
        <f t="shared" si="8"/>
        <v>0.21866481950740471</v>
      </c>
      <c r="J11" s="25"/>
      <c r="K11" s="7">
        <f t="shared" si="9"/>
        <v>80814687.940000013</v>
      </c>
      <c r="L11" s="25"/>
      <c r="M11" s="7">
        <f t="shared" si="10"/>
        <v>80836704.269999996</v>
      </c>
      <c r="N11" s="7">
        <f t="shared" si="1"/>
        <v>0</v>
      </c>
      <c r="O11" s="7" t="e">
        <f t="shared" si="11"/>
        <v>#REF!</v>
      </c>
      <c r="P11" s="9" t="e">
        <f t="shared" si="12"/>
        <v>#DIV/0!</v>
      </c>
      <c r="Q11" s="16"/>
      <c r="R11" s="5" t="s">
        <v>1</v>
      </c>
      <c r="S11" s="13">
        <f>J30</f>
        <v>80814687.940000013</v>
      </c>
      <c r="U11" s="6" t="s">
        <v>15</v>
      </c>
      <c r="V11" s="26">
        <f t="shared" si="2"/>
        <v>227454132.22647896</v>
      </c>
      <c r="W11" s="26">
        <f t="shared" si="3"/>
        <v>209784104.60225582</v>
      </c>
      <c r="X11" s="26">
        <f t="shared" si="4"/>
        <v>17670027.624223143</v>
      </c>
    </row>
    <row r="12" spans="2:27" x14ac:dyDescent="0.35">
      <c r="B12" s="6" t="s">
        <v>16</v>
      </c>
      <c r="C12" s="7">
        <v>44781001.960000001</v>
      </c>
      <c r="D12" s="29">
        <f t="shared" si="5"/>
        <v>329428522.19</v>
      </c>
      <c r="E12" s="30">
        <v>12329415</v>
      </c>
      <c r="F12" s="29">
        <f t="shared" si="6"/>
        <v>231657245.59</v>
      </c>
      <c r="G12" s="28">
        <f t="shared" si="0"/>
        <v>32451586.960000001</v>
      </c>
      <c r="H12" s="7">
        <f t="shared" si="7"/>
        <v>97771276.600000024</v>
      </c>
      <c r="I12" s="9">
        <f t="shared" si="8"/>
        <v>2.4685624607268135E-2</v>
      </c>
      <c r="J12" s="25"/>
      <c r="K12" s="7">
        <f t="shared" si="9"/>
        <v>80814687.940000013</v>
      </c>
      <c r="L12" s="25"/>
      <c r="M12" s="7">
        <f t="shared" si="10"/>
        <v>80836704.269999996</v>
      </c>
      <c r="N12" s="7">
        <f t="shared" si="1"/>
        <v>0</v>
      </c>
      <c r="O12" s="7" t="e">
        <f t="shared" si="11"/>
        <v>#REF!</v>
      </c>
      <c r="P12" s="9" t="e">
        <f t="shared" si="12"/>
        <v>#DIV/0!</v>
      </c>
      <c r="Q12" s="16"/>
      <c r="R12" s="5" t="s">
        <v>3</v>
      </c>
      <c r="S12" s="13">
        <f>L30</f>
        <v>80836704.269999996</v>
      </c>
      <c r="U12" s="6" t="s">
        <v>16</v>
      </c>
      <c r="V12" s="26">
        <f t="shared" ref="V12:V28" si="13">K12/D12*$C$30</f>
        <v>196535061.00176755</v>
      </c>
      <c r="W12" s="26">
        <f t="shared" ref="W12:W28" si="14">M12/F12*$E$30</f>
        <v>198618836.36530897</v>
      </c>
      <c r="X12" s="26">
        <f t="shared" ref="X12:X28" si="15">V12-W12</f>
        <v>-2083775.3635414243</v>
      </c>
    </row>
    <row r="13" spans="2:27" x14ac:dyDescent="0.35">
      <c r="B13" s="6" t="s">
        <v>17</v>
      </c>
      <c r="C13" s="7">
        <v>49783494.079999991</v>
      </c>
      <c r="D13" s="29">
        <f t="shared" si="5"/>
        <v>379212016.26999998</v>
      </c>
      <c r="E13" s="30">
        <v>18749493.880000003</v>
      </c>
      <c r="F13" s="29">
        <f t="shared" si="6"/>
        <v>250406739.47</v>
      </c>
      <c r="G13" s="28">
        <f t="shared" si="0"/>
        <v>31034000.199999988</v>
      </c>
      <c r="H13" s="7">
        <f t="shared" si="7"/>
        <v>128805276.80000001</v>
      </c>
      <c r="I13" s="9">
        <f t="shared" si="8"/>
        <v>-4.3683125936100992E-2</v>
      </c>
      <c r="J13" s="25"/>
      <c r="K13" s="7">
        <f t="shared" si="9"/>
        <v>80814687.940000013</v>
      </c>
      <c r="L13" s="25"/>
      <c r="M13" s="7">
        <f t="shared" si="10"/>
        <v>80836704.269999996</v>
      </c>
      <c r="N13" s="7">
        <f t="shared" si="1"/>
        <v>0</v>
      </c>
      <c r="O13" s="7" t="e">
        <f t="shared" si="11"/>
        <v>#REF!</v>
      </c>
      <c r="P13" s="9" t="e">
        <f t="shared" si="12"/>
        <v>#DIV/0!</v>
      </c>
      <c r="Q13" s="16"/>
      <c r="R13" s="3" t="s">
        <v>8</v>
      </c>
      <c r="S13" s="12">
        <f>S11-S12</f>
        <v>-22016.329999983311</v>
      </c>
      <c r="U13" s="6" t="s">
        <v>17</v>
      </c>
      <c r="V13" s="26">
        <f t="shared" si="13"/>
        <v>170733658.02373651</v>
      </c>
      <c r="W13" s="26">
        <f t="shared" si="14"/>
        <v>183747021.5540697</v>
      </c>
      <c r="X13" s="26">
        <f t="shared" si="15"/>
        <v>-13013363.530333191</v>
      </c>
    </row>
    <row r="14" spans="2:27" x14ac:dyDescent="0.35">
      <c r="B14" s="6" t="s">
        <v>18</v>
      </c>
      <c r="C14" s="7">
        <v>35151581.350000001</v>
      </c>
      <c r="D14" s="29">
        <f t="shared" si="5"/>
        <v>414363597.62</v>
      </c>
      <c r="E14" s="30">
        <v>18977812.640000001</v>
      </c>
      <c r="F14" s="29">
        <f t="shared" si="6"/>
        <v>269384552.11000001</v>
      </c>
      <c r="G14" s="28">
        <f t="shared" si="0"/>
        <v>16173768.710000001</v>
      </c>
      <c r="H14" s="7">
        <f t="shared" si="7"/>
        <v>144979045.51000002</v>
      </c>
      <c r="I14" s="9">
        <f t="shared" si="8"/>
        <v>-0.4788371268361335</v>
      </c>
      <c r="J14" s="25"/>
      <c r="K14" s="7">
        <f t="shared" si="9"/>
        <v>80814687.940000013</v>
      </c>
      <c r="L14" s="25"/>
      <c r="M14" s="7">
        <f t="shared" si="10"/>
        <v>80836704.269999996</v>
      </c>
      <c r="N14" s="7">
        <f t="shared" si="1"/>
        <v>0</v>
      </c>
      <c r="O14" s="7" t="e">
        <f t="shared" si="11"/>
        <v>#REF!</v>
      </c>
      <c r="P14" s="9" t="e">
        <f t="shared" si="12"/>
        <v>#DIV/0!</v>
      </c>
      <c r="Q14" s="16"/>
      <c r="U14" s="6" t="s">
        <v>18</v>
      </c>
      <c r="V14" s="26">
        <f t="shared" si="13"/>
        <v>156249861.41690159</v>
      </c>
      <c r="W14" s="26">
        <f t="shared" si="14"/>
        <v>170802268.3345634</v>
      </c>
      <c r="X14" s="26">
        <f t="shared" si="15"/>
        <v>-14552406.917661816</v>
      </c>
    </row>
    <row r="15" spans="2:27" x14ac:dyDescent="0.35">
      <c r="B15" s="6" t="s">
        <v>19</v>
      </c>
      <c r="C15" s="7">
        <v>40127015.509999998</v>
      </c>
      <c r="D15" s="29">
        <f t="shared" si="5"/>
        <v>454490613.13</v>
      </c>
      <c r="E15" s="30">
        <v>12880528.84</v>
      </c>
      <c r="F15" s="29">
        <f t="shared" si="6"/>
        <v>282265080.94999999</v>
      </c>
      <c r="G15" s="28">
        <f t="shared" si="0"/>
        <v>27246486.669999998</v>
      </c>
      <c r="H15" s="7">
        <f t="shared" si="7"/>
        <v>172225532.18000001</v>
      </c>
      <c r="I15" s="9">
        <f t="shared" si="8"/>
        <v>0.68460963913462547</v>
      </c>
      <c r="J15" s="25"/>
      <c r="K15" s="7">
        <f t="shared" si="9"/>
        <v>80814687.940000013</v>
      </c>
      <c r="L15" s="25"/>
      <c r="M15" s="7">
        <f t="shared" si="10"/>
        <v>80836704.269999996</v>
      </c>
      <c r="N15" s="7">
        <f t="shared" si="1"/>
        <v>0</v>
      </c>
      <c r="O15" s="7" t="e">
        <f t="shared" si="11"/>
        <v>#REF!</v>
      </c>
      <c r="P15" s="9" t="e">
        <f t="shared" si="12"/>
        <v>#DIV/0!</v>
      </c>
      <c r="Q15" s="16"/>
      <c r="U15" s="6" t="s">
        <v>19</v>
      </c>
      <c r="V15" s="26">
        <f t="shared" si="13"/>
        <v>142454547.64940256</v>
      </c>
      <c r="W15" s="26">
        <f t="shared" si="14"/>
        <v>163008092.95935833</v>
      </c>
      <c r="X15" s="26">
        <f t="shared" si="15"/>
        <v>-20553545.309955776</v>
      </c>
    </row>
    <row r="16" spans="2:27" x14ac:dyDescent="0.35">
      <c r="B16" s="6" t="s">
        <v>20</v>
      </c>
      <c r="C16" s="7">
        <v>38217519.950000003</v>
      </c>
      <c r="D16" s="29">
        <f t="shared" si="5"/>
        <v>492708133.07999998</v>
      </c>
      <c r="E16" s="30">
        <v>8902212.7600000016</v>
      </c>
      <c r="F16" s="29">
        <f t="shared" si="6"/>
        <v>291167293.70999998</v>
      </c>
      <c r="G16" s="28">
        <f t="shared" si="0"/>
        <v>29315307.190000001</v>
      </c>
      <c r="H16" s="7">
        <f t="shared" si="7"/>
        <v>201540839.37</v>
      </c>
      <c r="I16" s="9">
        <f t="shared" si="8"/>
        <v>7.5929808677971597E-2</v>
      </c>
      <c r="J16" s="25"/>
      <c r="K16" s="7">
        <f t="shared" si="9"/>
        <v>80814687.940000013</v>
      </c>
      <c r="L16" s="25"/>
      <c r="M16" s="7">
        <f t="shared" si="10"/>
        <v>80836704.269999996</v>
      </c>
      <c r="N16" s="7">
        <f t="shared" si="1"/>
        <v>0</v>
      </c>
      <c r="O16" s="7" t="e">
        <f t="shared" si="11"/>
        <v>#REF!</v>
      </c>
      <c r="P16" s="9" t="e">
        <f t="shared" si="12"/>
        <v>#DIV/0!</v>
      </c>
      <c r="Q16" s="16"/>
      <c r="U16" s="6" t="s">
        <v>20</v>
      </c>
      <c r="V16" s="26">
        <f t="shared" si="13"/>
        <v>131404883.2512805</v>
      </c>
      <c r="W16" s="26">
        <f t="shared" si="14"/>
        <v>158024247.73884609</v>
      </c>
      <c r="X16" s="26">
        <f t="shared" si="15"/>
        <v>-26619364.487565592</v>
      </c>
    </row>
    <row r="17" spans="2:24" x14ac:dyDescent="0.35">
      <c r="B17" s="6" t="s">
        <v>21</v>
      </c>
      <c r="C17" s="7">
        <v>41195301.590000004</v>
      </c>
      <c r="D17" s="29">
        <f t="shared" si="5"/>
        <v>533903434.66999996</v>
      </c>
      <c r="E17" s="30">
        <v>25074821.309999999</v>
      </c>
      <c r="F17" s="29">
        <f t="shared" si="6"/>
        <v>316242115.01999998</v>
      </c>
      <c r="G17" s="28">
        <f t="shared" si="0"/>
        <v>16120480.280000005</v>
      </c>
      <c r="H17" s="7">
        <f t="shared" si="7"/>
        <v>217661319.65000001</v>
      </c>
      <c r="I17" s="9">
        <f t="shared" si="8"/>
        <v>-0.45010024368774132</v>
      </c>
      <c r="J17" s="25"/>
      <c r="K17" s="7">
        <f t="shared" si="9"/>
        <v>80814687.940000013</v>
      </c>
      <c r="L17" s="25"/>
      <c r="M17" s="7">
        <f t="shared" si="10"/>
        <v>80836704.269999996</v>
      </c>
      <c r="N17" s="7">
        <f t="shared" si="1"/>
        <v>0</v>
      </c>
      <c r="O17" s="7" t="e">
        <f t="shared" si="11"/>
        <v>#REF!</v>
      </c>
      <c r="P17" s="9" t="e">
        <f t="shared" si="12"/>
        <v>#DIV/0!</v>
      </c>
      <c r="U17" s="6" t="s">
        <v>21</v>
      </c>
      <c r="V17" s="26">
        <f t="shared" si="13"/>
        <v>121265851.65040474</v>
      </c>
      <c r="W17" s="26">
        <f t="shared" si="14"/>
        <v>145494513.12570599</v>
      </c>
      <c r="X17" s="26">
        <f t="shared" si="15"/>
        <v>-24228661.475301251</v>
      </c>
    </row>
    <row r="18" spans="2:24" x14ac:dyDescent="0.35">
      <c r="B18" s="6" t="s">
        <v>22</v>
      </c>
      <c r="C18" s="7">
        <v>29591891.450000003</v>
      </c>
      <c r="D18" s="29">
        <f t="shared" si="5"/>
        <v>563495326.12</v>
      </c>
      <c r="E18" s="30">
        <v>9235623</v>
      </c>
      <c r="F18" s="29">
        <f t="shared" si="6"/>
        <v>325477738.01999998</v>
      </c>
      <c r="G18" s="28">
        <f t="shared" si="0"/>
        <v>20356268.450000003</v>
      </c>
      <c r="H18" s="7">
        <f t="shared" si="7"/>
        <v>238017588.10000002</v>
      </c>
      <c r="I18" s="9">
        <f t="shared" si="8"/>
        <v>0.26275818687952868</v>
      </c>
      <c r="J18" s="25"/>
      <c r="K18" s="7">
        <f t="shared" si="9"/>
        <v>80814687.940000013</v>
      </c>
      <c r="L18" s="25"/>
      <c r="M18" s="7">
        <f t="shared" si="10"/>
        <v>80836704.269999996</v>
      </c>
      <c r="N18" s="7">
        <f t="shared" si="1"/>
        <v>0</v>
      </c>
      <c r="O18" s="7" t="e">
        <f t="shared" si="11"/>
        <v>#REF!</v>
      </c>
      <c r="P18" s="9" t="e">
        <f t="shared" si="12"/>
        <v>#DIV/0!</v>
      </c>
      <c r="U18" s="6" t="s">
        <v>22</v>
      </c>
      <c r="V18" s="26">
        <f t="shared" si="13"/>
        <v>114897589.56855316</v>
      </c>
      <c r="W18" s="26">
        <f t="shared" si="14"/>
        <v>141366020.4061363</v>
      </c>
      <c r="X18" s="26">
        <f t="shared" si="15"/>
        <v>-26468430.83758314</v>
      </c>
    </row>
    <row r="19" spans="2:24" x14ac:dyDescent="0.35">
      <c r="B19" s="6" t="s">
        <v>23</v>
      </c>
      <c r="C19" s="7">
        <v>40672379.740000002</v>
      </c>
      <c r="D19" s="29">
        <f t="shared" si="5"/>
        <v>604167705.86000001</v>
      </c>
      <c r="E19" s="30">
        <v>9323600.6500000004</v>
      </c>
      <c r="F19" s="29">
        <f t="shared" si="6"/>
        <v>334801338.66999996</v>
      </c>
      <c r="G19" s="28">
        <f t="shared" si="0"/>
        <v>31348779.090000004</v>
      </c>
      <c r="H19" s="7">
        <f t="shared" si="7"/>
        <v>269366367.19000006</v>
      </c>
      <c r="I19" s="9">
        <f t="shared" si="8"/>
        <v>0.54000617387220584</v>
      </c>
      <c r="J19" s="25"/>
      <c r="K19" s="7">
        <f t="shared" si="9"/>
        <v>80814687.940000013</v>
      </c>
      <c r="L19" s="25"/>
      <c r="M19" s="7">
        <f t="shared" si="10"/>
        <v>80836704.269999996</v>
      </c>
      <c r="N19" s="7">
        <f t="shared" si="1"/>
        <v>0</v>
      </c>
      <c r="O19" s="7" t="e">
        <f t="shared" si="11"/>
        <v>#REF!</v>
      </c>
      <c r="P19" s="9" t="e">
        <f t="shared" si="12"/>
        <v>#DIV/0!</v>
      </c>
      <c r="U19" s="6" t="s">
        <v>23</v>
      </c>
      <c r="V19" s="26">
        <f t="shared" si="13"/>
        <v>107162720.01359926</v>
      </c>
      <c r="W19" s="26">
        <f t="shared" si="14"/>
        <v>137429237.10358894</v>
      </c>
      <c r="X19" s="26">
        <f t="shared" si="15"/>
        <v>-30266517.089989677</v>
      </c>
    </row>
    <row r="20" spans="2:24" x14ac:dyDescent="0.35">
      <c r="B20" s="6" t="s">
        <v>24</v>
      </c>
      <c r="C20" s="7">
        <v>32182694.120000005</v>
      </c>
      <c r="D20" s="29">
        <f t="shared" si="5"/>
        <v>636350399.98000002</v>
      </c>
      <c r="E20" s="30">
        <v>45650173.030000001</v>
      </c>
      <c r="F20" s="29">
        <f t="shared" si="6"/>
        <v>380451511.69999993</v>
      </c>
      <c r="G20" s="28">
        <f t="shared" si="0"/>
        <v>-13467478.909999996</v>
      </c>
      <c r="H20" s="7">
        <f t="shared" si="7"/>
        <v>255898888.28000006</v>
      </c>
      <c r="I20" s="9">
        <f t="shared" si="8"/>
        <v>-1.4296013848365792</v>
      </c>
      <c r="J20" s="25"/>
      <c r="K20" s="7">
        <f t="shared" si="9"/>
        <v>80814687.940000013</v>
      </c>
      <c r="L20" s="25"/>
      <c r="M20" s="7">
        <f t="shared" si="10"/>
        <v>80836704.269999996</v>
      </c>
      <c r="N20" s="7">
        <f t="shared" si="1"/>
        <v>0</v>
      </c>
      <c r="O20" s="7" t="e">
        <f t="shared" si="11"/>
        <v>#REF!</v>
      </c>
      <c r="P20" s="9" t="e">
        <f t="shared" si="12"/>
        <v>#DIV/0!</v>
      </c>
      <c r="U20" s="6" t="s">
        <v>24</v>
      </c>
      <c r="V20" s="26">
        <f t="shared" si="13"/>
        <v>101743087.93766554</v>
      </c>
      <c r="W20" s="26">
        <f t="shared" si="14"/>
        <v>120939176.58279715</v>
      </c>
      <c r="X20" s="26">
        <f t="shared" si="15"/>
        <v>-19196088.645131618</v>
      </c>
    </row>
    <row r="21" spans="2:24" x14ac:dyDescent="0.35">
      <c r="B21" s="6" t="s">
        <v>25</v>
      </c>
      <c r="C21" s="7">
        <v>29866854.149999999</v>
      </c>
      <c r="D21" s="29">
        <f t="shared" si="5"/>
        <v>666217254.13</v>
      </c>
      <c r="E21" s="30">
        <v>40394453.269999996</v>
      </c>
      <c r="F21" s="29">
        <f t="shared" si="6"/>
        <v>420845964.96999991</v>
      </c>
      <c r="G21" s="28">
        <f t="shared" si="0"/>
        <v>-10527599.119999997</v>
      </c>
      <c r="H21" s="7">
        <f t="shared" si="7"/>
        <v>245371289.16000006</v>
      </c>
      <c r="I21" s="9">
        <f t="shared" si="8"/>
        <v>0.21829473872923999</v>
      </c>
      <c r="J21" s="25"/>
      <c r="K21" s="7">
        <f t="shared" si="9"/>
        <v>80814687.940000013</v>
      </c>
      <c r="L21" s="25"/>
      <c r="M21" s="7">
        <f t="shared" si="10"/>
        <v>80836704.269999996</v>
      </c>
      <c r="N21" s="7">
        <f t="shared" si="1"/>
        <v>0</v>
      </c>
      <c r="O21" s="7" t="e">
        <f t="shared" si="11"/>
        <v>#REF!</v>
      </c>
      <c r="P21" s="9" t="e">
        <f t="shared" si="12"/>
        <v>#DIV/0!</v>
      </c>
      <c r="U21" s="6" t="s">
        <v>25</v>
      </c>
      <c r="V21" s="26">
        <f t="shared" si="13"/>
        <v>97181894.198885649</v>
      </c>
      <c r="W21" s="26">
        <f t="shared" si="14"/>
        <v>109330958.08096519</v>
      </c>
      <c r="X21" s="26">
        <f t="shared" si="15"/>
        <v>-12149063.882079542</v>
      </c>
    </row>
    <row r="22" spans="2:24" x14ac:dyDescent="0.35">
      <c r="B22" s="6" t="s">
        <v>26</v>
      </c>
      <c r="C22" s="7">
        <v>31874842.779999994</v>
      </c>
      <c r="D22" s="29">
        <f t="shared" si="5"/>
        <v>698092096.90999997</v>
      </c>
      <c r="E22" s="30">
        <v>51605520.099999987</v>
      </c>
      <c r="F22" s="29">
        <f t="shared" si="6"/>
        <v>472451485.06999987</v>
      </c>
      <c r="G22" s="28">
        <f t="shared" si="0"/>
        <v>-19730677.319999993</v>
      </c>
      <c r="H22" s="7">
        <f t="shared" si="7"/>
        <v>225640611.84000006</v>
      </c>
      <c r="I22" s="9">
        <f t="shared" si="8"/>
        <v>-0.87418585140806515</v>
      </c>
      <c r="J22" s="25"/>
      <c r="K22" s="7">
        <f t="shared" si="9"/>
        <v>80814687.940000013</v>
      </c>
      <c r="L22" s="25"/>
      <c r="M22" s="7">
        <f t="shared" si="10"/>
        <v>80836704.269999996</v>
      </c>
      <c r="N22" s="7">
        <f t="shared" si="1"/>
        <v>0</v>
      </c>
      <c r="O22" s="7" t="e">
        <f t="shared" si="11"/>
        <v>#REF!</v>
      </c>
      <c r="P22" s="9" t="e">
        <f t="shared" si="12"/>
        <v>#DIV/0!</v>
      </c>
      <c r="U22" s="6" t="s">
        <v>26</v>
      </c>
      <c r="V22" s="26">
        <f t="shared" si="13"/>
        <v>92744574.807413682</v>
      </c>
      <c r="W22" s="26">
        <f t="shared" si="14"/>
        <v>97388819.823185027</v>
      </c>
      <c r="X22" s="26">
        <f t="shared" si="15"/>
        <v>-4644245.0157713443</v>
      </c>
    </row>
    <row r="23" spans="2:24" x14ac:dyDescent="0.35">
      <c r="B23" s="6" t="s">
        <v>27</v>
      </c>
      <c r="C23" s="7">
        <v>27510388.32</v>
      </c>
      <c r="D23" s="29">
        <f t="shared" si="5"/>
        <v>725602485.23000002</v>
      </c>
      <c r="E23" s="30">
        <v>38031447.5</v>
      </c>
      <c r="F23" s="29">
        <f t="shared" si="6"/>
        <v>510482932.56999987</v>
      </c>
      <c r="G23" s="28">
        <f t="shared" si="0"/>
        <v>-10521059.18</v>
      </c>
      <c r="H23" s="7">
        <f t="shared" si="7"/>
        <v>215119552.66000006</v>
      </c>
      <c r="I23" s="9">
        <f t="shared" si="8"/>
        <v>0.4667664465154811</v>
      </c>
      <c r="J23" s="25"/>
      <c r="K23" s="7">
        <f t="shared" si="9"/>
        <v>80814687.940000013</v>
      </c>
      <c r="L23" s="25"/>
      <c r="M23" s="7">
        <f t="shared" si="10"/>
        <v>80836704.269999996</v>
      </c>
      <c r="N23" s="7">
        <f t="shared" si="1"/>
        <v>0</v>
      </c>
      <c r="O23" s="7" t="e">
        <f t="shared" si="11"/>
        <v>#REF!</v>
      </c>
      <c r="P23" s="9" t="e">
        <f t="shared" si="12"/>
        <v>#DIV/0!</v>
      </c>
      <c r="U23" s="6" t="s">
        <v>27</v>
      </c>
      <c r="V23" s="26">
        <f t="shared" si="13"/>
        <v>89228270.330153674</v>
      </c>
      <c r="W23" s="26">
        <f t="shared" si="14"/>
        <v>90133263.267071307</v>
      </c>
      <c r="X23" s="26">
        <f t="shared" si="15"/>
        <v>-904992.93691763282</v>
      </c>
    </row>
    <row r="24" spans="2:24" x14ac:dyDescent="0.35">
      <c r="B24" s="6" t="s">
        <v>28</v>
      </c>
      <c r="C24" s="7">
        <v>24596174.120000001</v>
      </c>
      <c r="D24" s="29">
        <f t="shared" si="5"/>
        <v>750198659.35000002</v>
      </c>
      <c r="E24" s="30">
        <v>23995555.329999998</v>
      </c>
      <c r="F24" s="29">
        <f t="shared" si="6"/>
        <v>534478487.89999986</v>
      </c>
      <c r="G24" s="28">
        <f t="shared" si="0"/>
        <v>600618.79000000283</v>
      </c>
      <c r="H24" s="7">
        <f t="shared" si="7"/>
        <v>215720171.45000005</v>
      </c>
      <c r="I24" s="9">
        <f t="shared" si="8"/>
        <v>1.0570872931825865</v>
      </c>
      <c r="J24" s="25"/>
      <c r="K24" s="7">
        <f t="shared" si="9"/>
        <v>80814687.940000013</v>
      </c>
      <c r="L24" s="25"/>
      <c r="M24" s="7">
        <f t="shared" si="10"/>
        <v>80836704.269999996</v>
      </c>
      <c r="N24" s="7">
        <f t="shared" si="1"/>
        <v>0</v>
      </c>
      <c r="O24" s="7" t="e">
        <f t="shared" si="11"/>
        <v>#REF!</v>
      </c>
      <c r="P24" s="9" t="e">
        <f t="shared" si="12"/>
        <v>#DIV/0!</v>
      </c>
      <c r="U24" s="6" t="s">
        <v>28</v>
      </c>
      <c r="V24" s="26">
        <f t="shared" si="13"/>
        <v>86302813.124766976</v>
      </c>
      <c r="W24" s="26">
        <f t="shared" si="14"/>
        <v>86086706.193658993</v>
      </c>
      <c r="X24" s="26">
        <f t="shared" si="15"/>
        <v>216106.93110798299</v>
      </c>
    </row>
    <row r="25" spans="2:24" x14ac:dyDescent="0.35">
      <c r="B25" s="6" t="s">
        <v>29</v>
      </c>
      <c r="C25" s="7">
        <v>16898538.739999998</v>
      </c>
      <c r="D25" s="29">
        <f t="shared" si="5"/>
        <v>767097198.09000003</v>
      </c>
      <c r="E25" s="30">
        <v>6963458.4199999999</v>
      </c>
      <c r="F25" s="29">
        <f t="shared" si="6"/>
        <v>541441946.31999981</v>
      </c>
      <c r="G25" s="28">
        <f t="shared" si="0"/>
        <v>9935080.3199999984</v>
      </c>
      <c r="H25" s="7">
        <f t="shared" si="7"/>
        <v>225655251.77000004</v>
      </c>
      <c r="I25" s="9">
        <f t="shared" si="8"/>
        <v>15.541407770476098</v>
      </c>
      <c r="J25" s="25"/>
      <c r="K25" s="7">
        <f t="shared" si="9"/>
        <v>80814687.940000013</v>
      </c>
      <c r="L25" s="25"/>
      <c r="M25" s="7">
        <f t="shared" si="10"/>
        <v>80836704.269999996</v>
      </c>
      <c r="N25" s="7">
        <f t="shared" si="1"/>
        <v>0</v>
      </c>
      <c r="O25" s="7" t="e">
        <f t="shared" si="11"/>
        <v>#REF!</v>
      </c>
      <c r="P25" s="9" t="e">
        <f t="shared" si="12"/>
        <v>#DIV/0!</v>
      </c>
      <c r="U25" s="6" t="s">
        <v>29</v>
      </c>
      <c r="V25" s="26">
        <f t="shared" si="13"/>
        <v>84401631.065190807</v>
      </c>
      <c r="W25" s="26">
        <f t="shared" si="14"/>
        <v>84979549.270984948</v>
      </c>
      <c r="X25" s="26">
        <f t="shared" si="15"/>
        <v>-577918.2057941407</v>
      </c>
    </row>
    <row r="26" spans="2:24" x14ac:dyDescent="0.35">
      <c r="B26" s="6" t="s">
        <v>30</v>
      </c>
      <c r="C26" s="7">
        <v>13708157</v>
      </c>
      <c r="D26" s="29">
        <f t="shared" si="5"/>
        <v>780805355.09000003</v>
      </c>
      <c r="E26" s="30">
        <v>13046656.000000013</v>
      </c>
      <c r="F26" s="29">
        <f t="shared" si="6"/>
        <v>554488602.31999981</v>
      </c>
      <c r="G26" s="28">
        <f t="shared" si="0"/>
        <v>661500.99999998696</v>
      </c>
      <c r="H26" s="7">
        <f t="shared" si="7"/>
        <v>226316752.77000004</v>
      </c>
      <c r="I26" s="9">
        <f t="shared" si="8"/>
        <v>-0.9334176495112636</v>
      </c>
      <c r="J26" s="25"/>
      <c r="K26" s="7">
        <f t="shared" si="9"/>
        <v>80814687.940000013</v>
      </c>
      <c r="L26" s="25"/>
      <c r="M26" s="7">
        <f t="shared" si="10"/>
        <v>80836704.269999996</v>
      </c>
      <c r="N26" s="7">
        <f t="shared" si="1"/>
        <v>0</v>
      </c>
      <c r="O26" s="7" t="e">
        <f t="shared" si="11"/>
        <v>#REF!</v>
      </c>
      <c r="P26" s="9" t="e">
        <f t="shared" si="12"/>
        <v>#DIV/0!</v>
      </c>
      <c r="U26" s="6" t="s">
        <v>30</v>
      </c>
      <c r="V26" s="26">
        <f t="shared" si="13"/>
        <v>82919839.473784074</v>
      </c>
      <c r="W26" s="26">
        <f t="shared" si="14"/>
        <v>82980051.099634334</v>
      </c>
      <c r="X26" s="26">
        <f t="shared" si="15"/>
        <v>-60211.625850260258</v>
      </c>
    </row>
    <row r="27" spans="2:24" x14ac:dyDescent="0.35">
      <c r="B27" s="6" t="s">
        <v>31</v>
      </c>
      <c r="C27" s="7">
        <v>7746752.1200000001</v>
      </c>
      <c r="D27" s="29">
        <f t="shared" si="5"/>
        <v>788552107.21000004</v>
      </c>
      <c r="E27" s="30">
        <v>6063998.5199999996</v>
      </c>
      <c r="F27" s="29">
        <f t="shared" si="6"/>
        <v>560552600.83999979</v>
      </c>
      <c r="G27" s="28">
        <f t="shared" si="0"/>
        <v>1682753.6000000006</v>
      </c>
      <c r="H27" s="7">
        <f t="shared" si="7"/>
        <v>227999506.37000003</v>
      </c>
      <c r="I27" s="9">
        <f t="shared" si="8"/>
        <v>1.5438413547372321</v>
      </c>
      <c r="J27" s="25"/>
      <c r="K27" s="7">
        <f t="shared" si="9"/>
        <v>80814687.940000013</v>
      </c>
      <c r="L27" s="25"/>
      <c r="M27" s="7">
        <f t="shared" si="10"/>
        <v>80836704.269999996</v>
      </c>
      <c r="N27" s="7">
        <f t="shared" si="1"/>
        <v>0</v>
      </c>
      <c r="O27" s="7" t="e">
        <f t="shared" si="11"/>
        <v>#REF!</v>
      </c>
      <c r="P27" s="9" t="e">
        <f t="shared" si="12"/>
        <v>#DIV/0!</v>
      </c>
      <c r="U27" s="6" t="s">
        <v>31</v>
      </c>
      <c r="V27" s="26">
        <f t="shared" si="13"/>
        <v>82105233.265316322</v>
      </c>
      <c r="W27" s="26">
        <f t="shared" si="14"/>
        <v>82082381.717129171</v>
      </c>
      <c r="X27" s="26">
        <f t="shared" si="15"/>
        <v>22851.548187151551</v>
      </c>
    </row>
    <row r="28" spans="2:24" x14ac:dyDescent="0.35">
      <c r="B28" s="6" t="s">
        <v>32</v>
      </c>
      <c r="C28" s="7">
        <v>5183798.5600000005</v>
      </c>
      <c r="D28" s="29">
        <f t="shared" si="5"/>
        <v>793735905.76999998</v>
      </c>
      <c r="E28" s="30">
        <v>2771777.48</v>
      </c>
      <c r="F28" s="29">
        <f t="shared" si="6"/>
        <v>563324378.31999981</v>
      </c>
      <c r="G28" s="28">
        <f t="shared" si="0"/>
        <v>2412021.0800000005</v>
      </c>
      <c r="H28" s="7">
        <f t="shared" si="7"/>
        <v>230411527.45000005</v>
      </c>
      <c r="I28" s="9">
        <f t="shared" si="8"/>
        <v>0.4333774594212722</v>
      </c>
      <c r="J28" s="25"/>
      <c r="K28" s="7">
        <f t="shared" si="9"/>
        <v>80814687.940000013</v>
      </c>
      <c r="L28" s="25"/>
      <c r="M28" s="7">
        <f t="shared" si="10"/>
        <v>80836704.269999996</v>
      </c>
      <c r="N28" s="7">
        <f t="shared" si="1"/>
        <v>0</v>
      </c>
      <c r="O28" s="7" t="e">
        <f t="shared" si="11"/>
        <v>#REF!</v>
      </c>
      <c r="P28" s="9" t="e">
        <f t="shared" si="12"/>
        <v>#DIV/0!</v>
      </c>
      <c r="U28" s="6" t="s">
        <v>32</v>
      </c>
      <c r="V28" s="26">
        <f t="shared" si="13"/>
        <v>81569013.362858564</v>
      </c>
      <c r="W28" s="26">
        <f t="shared" si="14"/>
        <v>81678504.118529916</v>
      </c>
      <c r="X28" s="26">
        <f t="shared" si="15"/>
        <v>-109490.75567135215</v>
      </c>
    </row>
    <row r="29" spans="2:24" x14ac:dyDescent="0.35">
      <c r="B29" s="6" t="s">
        <v>33</v>
      </c>
      <c r="C29" s="7">
        <v>7408742</v>
      </c>
      <c r="D29" s="29">
        <f t="shared" si="5"/>
        <v>801144647.76999998</v>
      </c>
      <c r="E29" s="30">
        <v>5866226</v>
      </c>
      <c r="F29" s="29">
        <f t="shared" si="6"/>
        <v>569190604.31999981</v>
      </c>
      <c r="G29" s="28">
        <f t="shared" si="0"/>
        <v>1542516</v>
      </c>
      <c r="H29" s="7">
        <f t="shared" si="7"/>
        <v>231954043.45000005</v>
      </c>
      <c r="I29" s="9">
        <f t="shared" si="8"/>
        <v>-0.36048817616469603</v>
      </c>
      <c r="J29" s="25"/>
      <c r="K29" s="7">
        <f t="shared" si="9"/>
        <v>80814687.940000013</v>
      </c>
      <c r="L29" s="25"/>
      <c r="M29" s="7">
        <f t="shared" si="10"/>
        <v>80836704.269999996</v>
      </c>
      <c r="N29" s="7">
        <f t="shared" si="1"/>
        <v>0</v>
      </c>
      <c r="O29" s="7" t="e">
        <f t="shared" si="11"/>
        <v>#REF!</v>
      </c>
      <c r="P29" s="9" t="e">
        <f t="shared" si="12"/>
        <v>#DIV/0!</v>
      </c>
      <c r="U29" s="6" t="s">
        <v>33</v>
      </c>
      <c r="V29" s="26"/>
      <c r="W29" s="8"/>
      <c r="X29" s="8"/>
    </row>
    <row r="30" spans="2:24" x14ac:dyDescent="0.35">
      <c r="B30" s="3"/>
      <c r="C30" s="10">
        <f>SUBTOTAL(9,C5:C29)</f>
        <v>801144647.76999998</v>
      </c>
      <c r="D30" s="10"/>
      <c r="E30" s="10">
        <f>SUBTOTAL(9,E5:E29)</f>
        <v>569190604.31999981</v>
      </c>
      <c r="F30" s="10"/>
      <c r="G30" s="10">
        <f>SUBTOTAL(9,G5:G29)</f>
        <v>231954043.45000005</v>
      </c>
      <c r="H30" s="10"/>
      <c r="I30" s="10"/>
      <c r="J30" s="11">
        <f>SUBTOTAL(9,J5:J29)</f>
        <v>80814687.940000013</v>
      </c>
      <c r="K30" s="11"/>
      <c r="L30" s="11">
        <f>SUBTOTAL(9,L5:L29)</f>
        <v>80836704.269999996</v>
      </c>
      <c r="M30" s="11"/>
      <c r="N30" s="11" t="e">
        <f>SUBTOTAL(9,N5:N29)</f>
        <v>#REF!</v>
      </c>
      <c r="O30" s="11"/>
      <c r="P30" s="11"/>
    </row>
    <row r="31" spans="2:24" x14ac:dyDescent="0.35">
      <c r="C31" s="18"/>
      <c r="D31" s="18"/>
      <c r="E31" s="18"/>
      <c r="F31" s="18"/>
      <c r="G31" s="18"/>
    </row>
    <row r="33" spans="4:12" x14ac:dyDescent="0.35">
      <c r="D33">
        <f>S5/C30</f>
        <v>0</v>
      </c>
      <c r="K33" s="4" t="s">
        <v>1</v>
      </c>
      <c r="L33" s="17">
        <f>J30</f>
        <v>80814687.940000013</v>
      </c>
    </row>
    <row r="34" spans="4:12" x14ac:dyDescent="0.35">
      <c r="D34">
        <f>S6/E30</f>
        <v>0</v>
      </c>
      <c r="K34" s="4" t="s">
        <v>3</v>
      </c>
      <c r="L34" s="17">
        <f>L30</f>
        <v>80836704.269999996</v>
      </c>
    </row>
    <row r="35" spans="4:12" x14ac:dyDescent="0.35">
      <c r="K35" s="3" t="s">
        <v>8</v>
      </c>
      <c r="L35" s="12">
        <f>L33-L34</f>
        <v>-22016.329999983311</v>
      </c>
    </row>
  </sheetData>
  <mergeCells count="2">
    <mergeCell ref="C3:I3"/>
    <mergeCell ref="J3:P3"/>
  </mergeCells>
  <conditionalFormatting sqref="I6: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G5:G30 N5:N27 N28: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Z22"/>
  <sheetViews>
    <sheetView tabSelected="1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K9" sqref="K9"/>
    </sheetView>
  </sheetViews>
  <sheetFormatPr defaultRowHeight="14.5" x14ac:dyDescent="0.35"/>
  <cols>
    <col min="2" max="2" width="13.81640625" bestFit="1" customWidth="1"/>
    <col min="3" max="3" width="14.1796875" bestFit="1" customWidth="1"/>
    <col min="4" max="4" width="12.81640625" bestFit="1" customWidth="1"/>
    <col min="5" max="5" width="12.54296875" bestFit="1" customWidth="1"/>
    <col min="6" max="6" width="11.36328125" bestFit="1" customWidth="1"/>
    <col min="7" max="7" width="12.54296875" bestFit="1" customWidth="1"/>
    <col min="8" max="8" width="11.36328125" bestFit="1" customWidth="1"/>
    <col min="9" max="9" width="9.1796875" bestFit="1" customWidth="1"/>
    <col min="10" max="10" width="11" customWidth="1"/>
    <col min="11" max="11" width="13.81640625" bestFit="1" customWidth="1"/>
    <col min="12" max="12" width="12.54296875" bestFit="1" customWidth="1"/>
    <col min="13" max="13" width="11.36328125" bestFit="1" customWidth="1"/>
    <col min="14" max="14" width="13.81640625" bestFit="1" customWidth="1"/>
    <col min="15" max="15" width="11.36328125" bestFit="1" customWidth="1"/>
    <col min="16" max="16" width="9.1796875" bestFit="1" customWidth="1"/>
    <col min="18" max="20" width="13.81640625" bestFit="1" customWidth="1"/>
    <col min="21" max="21" width="12.1796875" bestFit="1" customWidth="1"/>
    <col min="22" max="23" width="12.1796875" customWidth="1"/>
    <col min="24" max="25" width="13.81640625" bestFit="1" customWidth="1"/>
    <col min="26" max="26" width="14.453125" bestFit="1" customWidth="1"/>
  </cols>
  <sheetData>
    <row r="2" spans="2:26" x14ac:dyDescent="0.35">
      <c r="C2" t="str">
        <f>TEXT(C3,"DDDD")</f>
        <v>Wednesday</v>
      </c>
      <c r="J2" t="str">
        <f>TEXT(J3,"DDDD")</f>
        <v>Wednesday</v>
      </c>
    </row>
    <row r="3" spans="2:26" x14ac:dyDescent="0.35">
      <c r="B3" s="1"/>
      <c r="C3" s="42" t="str">
        <f>[1]old_ddr!$Y$2</f>
        <v>2024-09-25</v>
      </c>
      <c r="D3" s="42"/>
      <c r="E3" s="42"/>
      <c r="F3" s="42"/>
      <c r="G3" s="42"/>
      <c r="H3" s="42"/>
      <c r="I3" s="42"/>
      <c r="J3" s="44" t="str">
        <f>[1]new_ddr!$Y$2</f>
        <v>2025-01-29</v>
      </c>
      <c r="K3" s="44"/>
      <c r="L3" s="44"/>
      <c r="M3" s="44"/>
      <c r="N3" s="44"/>
      <c r="O3" s="44"/>
      <c r="P3" s="44"/>
      <c r="R3" s="8" t="s">
        <v>54</v>
      </c>
      <c r="S3" s="45" t="s">
        <v>46</v>
      </c>
      <c r="T3" s="45"/>
      <c r="U3" s="45"/>
      <c r="V3" s="39"/>
      <c r="W3" s="39"/>
    </row>
    <row r="4" spans="2:26" x14ac:dyDescent="0.35">
      <c r="B4" s="1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15" t="s">
        <v>1</v>
      </c>
      <c r="K4" s="15" t="s">
        <v>2</v>
      </c>
      <c r="L4" s="15" t="s">
        <v>3</v>
      </c>
      <c r="M4" s="15" t="s">
        <v>4</v>
      </c>
      <c r="N4" s="15" t="s">
        <v>8</v>
      </c>
      <c r="O4" s="15" t="s">
        <v>6</v>
      </c>
      <c r="P4" s="15" t="s">
        <v>7</v>
      </c>
      <c r="R4" s="8" t="s">
        <v>54</v>
      </c>
      <c r="S4" s="8" t="s">
        <v>1</v>
      </c>
      <c r="T4" s="8" t="s">
        <v>3</v>
      </c>
      <c r="U4" s="27" t="s">
        <v>8</v>
      </c>
      <c r="X4" t="s">
        <v>48</v>
      </c>
      <c r="Y4" t="s">
        <v>47</v>
      </c>
    </row>
    <row r="5" spans="2:26" x14ac:dyDescent="0.35">
      <c r="B5" s="20" t="s">
        <v>9</v>
      </c>
      <c r="C5" s="7">
        <f>VLOOKUP(B5,[1]old_ddr_pivot!$A:$B,2,0)</f>
        <v>104103098.01000001</v>
      </c>
      <c r="D5" s="7">
        <f>C5</f>
        <v>104103098.01000001</v>
      </c>
      <c r="E5" s="7">
        <f>VLOOKUP(B5,[1]old_coll_pivot!$A:$B,2,0)</f>
        <v>77930075.019999996</v>
      </c>
      <c r="F5" s="7">
        <f>E5</f>
        <v>77930075.019999996</v>
      </c>
      <c r="G5" s="7">
        <f>C5-E5</f>
        <v>26173022.99000001</v>
      </c>
      <c r="H5" s="7">
        <f>G5</f>
        <v>26173022.99000001</v>
      </c>
      <c r="I5" s="8"/>
      <c r="J5" s="32">
        <f>IFERROR(VLOOKUP(B5,[1]new_ddr_pivot!$A:$B,2,0),0)/10000000</f>
        <v>13.839304494999999</v>
      </c>
      <c r="K5" s="32">
        <f>J5</f>
        <v>13.839304494999999</v>
      </c>
      <c r="L5" s="32">
        <f>IFERROR(VLOOKUP(B5,[1]new_coll_pivot!$A:$B,2,0),0)/10000000</f>
        <v>12.448859389000001</v>
      </c>
      <c r="M5" s="7">
        <f>L5</f>
        <v>12.448859389000001</v>
      </c>
      <c r="N5" s="32">
        <f>J5-L5</f>
        <v>1.3904451059999978</v>
      </c>
      <c r="O5" s="41">
        <f>N5</f>
        <v>1.3904451059999978</v>
      </c>
      <c r="P5" s="8"/>
      <c r="R5" s="20" t="s">
        <v>9</v>
      </c>
      <c r="S5" s="32">
        <f t="shared" ref="S5" si="0">K5/D5*$C$18</f>
        <v>99.727621417074957</v>
      </c>
      <c r="T5" s="32">
        <f t="shared" ref="T5" si="1">M5/F5*$E$18</f>
        <v>107.95121398851757</v>
      </c>
      <c r="U5" s="37">
        <f t="shared" ref="U5" si="2">S5-T5</f>
        <v>-8.2235925714426088</v>
      </c>
      <c r="V5" s="38"/>
      <c r="W5" s="38"/>
      <c r="X5" s="38">
        <f>AVERAGE(S5:S17)</f>
        <v>83.895066109015758</v>
      </c>
      <c r="Y5" s="38">
        <f>AVERAGE(T5:T17)</f>
        <v>83.666045946008154</v>
      </c>
      <c r="Z5" s="38">
        <f>X5-Y5</f>
        <v>0.22902016300760408</v>
      </c>
    </row>
    <row r="6" spans="2:26" x14ac:dyDescent="0.35">
      <c r="B6" s="20" t="s">
        <v>34</v>
      </c>
      <c r="C6" s="7">
        <f>VLOOKUP(B6,[1]old_ddr_pivot!$A:$B,2,0)</f>
        <v>71198404.840000004</v>
      </c>
      <c r="D6" s="7">
        <f>C6+D5</f>
        <v>175301502.85000002</v>
      </c>
      <c r="E6" s="7">
        <f>VLOOKUP(B6,[1]old_coll_pivot!$A:$B,2,0)</f>
        <v>38658110.469999999</v>
      </c>
      <c r="F6" s="7">
        <f>E6+F5</f>
        <v>116588185.48999999</v>
      </c>
      <c r="G6" s="7">
        <f t="shared" ref="G6:G17" si="3">C6-E6</f>
        <v>32540294.370000005</v>
      </c>
      <c r="H6" s="7">
        <f>G6+H5</f>
        <v>58713317.360000014</v>
      </c>
      <c r="I6" s="9">
        <f>(G6-G5)/ABS(G5)</f>
        <v>0.24327611611516003</v>
      </c>
      <c r="J6" s="32">
        <f>IFERROR(VLOOKUP(B6,[1]new_ddr_pivot!$A:$B,2,0),0)/10000000</f>
        <v>8.8244256069999985</v>
      </c>
      <c r="K6" s="32">
        <f>J6+K5</f>
        <v>22.663730101999995</v>
      </c>
      <c r="L6" s="32">
        <f>IFERROR(VLOOKUP(B6,[1]new_coll_pivot!$A:$B,2,0),0)/10000000</f>
        <v>5.3732899610000002</v>
      </c>
      <c r="M6" s="7">
        <f>L6+M5</f>
        <v>17.82214935</v>
      </c>
      <c r="N6" s="32">
        <f t="shared" ref="N6:N17" si="4">J6-L6</f>
        <v>3.4511356459999982</v>
      </c>
      <c r="O6" s="41">
        <f>N6+O5</f>
        <v>4.841580751999996</v>
      </c>
      <c r="P6" s="9">
        <f>(N6-N5)/ABS(N5)</f>
        <v>1.4820366018822204</v>
      </c>
      <c r="Q6" s="38"/>
      <c r="R6" s="20" t="s">
        <v>34</v>
      </c>
      <c r="S6" s="32">
        <f t="shared" ref="S6" si="5">K6/D6*$C$18</f>
        <v>96.986346632770051</v>
      </c>
      <c r="T6" s="32">
        <f t="shared" ref="T6" si="6">M6/F6*$E$18</f>
        <v>103.30196884937358</v>
      </c>
      <c r="U6" s="37">
        <f t="shared" ref="U6" si="7">S6-T6</f>
        <v>-6.3156222166035292</v>
      </c>
      <c r="V6" s="38"/>
      <c r="W6" s="38"/>
    </row>
    <row r="7" spans="2:26" x14ac:dyDescent="0.35">
      <c r="B7" s="20" t="s">
        <v>35</v>
      </c>
      <c r="C7" s="7">
        <f>VLOOKUP(B7,[1]old_ddr_pivot!$A:$B,2,0)</f>
        <v>66466003.479999997</v>
      </c>
      <c r="D7" s="7">
        <f t="shared" ref="D7:D17" si="8">C7+D6</f>
        <v>241767506.33000001</v>
      </c>
      <c r="E7" s="7">
        <f>VLOOKUP(B7,[1]old_coll_pivot!$A:$B,2,0)</f>
        <v>50812169.159999996</v>
      </c>
      <c r="F7" s="7">
        <f t="shared" ref="F7:F17" si="9">E7+F6</f>
        <v>167400354.64999998</v>
      </c>
      <c r="G7" s="7">
        <f t="shared" si="3"/>
        <v>15653834.32</v>
      </c>
      <c r="H7" s="7">
        <f t="shared" ref="H7:H17" si="10">G7+H6</f>
        <v>74367151.680000007</v>
      </c>
      <c r="I7" s="9">
        <f t="shared" ref="I7:I17" si="11">(G7-G6)/ABS(G6)</f>
        <v>-0.51893999046204697</v>
      </c>
      <c r="J7" s="32">
        <f>IFERROR(VLOOKUP(B7,[1]new_ddr_pivot!$A:$B,2,0),0)/10000000</f>
        <v>9.2260994099999998</v>
      </c>
      <c r="K7" s="32">
        <f t="shared" ref="K7:K17" si="12">J7+K6</f>
        <v>31.889829511999995</v>
      </c>
      <c r="L7" s="32">
        <f>IFERROR(VLOOKUP(B7,[1]new_coll_pivot!$A:$B,2,0),0)/10000000</f>
        <v>6.477459327</v>
      </c>
      <c r="M7" s="7">
        <f t="shared" ref="M7:M17" si="13">L7+M6</f>
        <v>24.299608677000002</v>
      </c>
      <c r="N7" s="32">
        <f t="shared" si="4"/>
        <v>2.7486400829999997</v>
      </c>
      <c r="O7" s="41">
        <f t="shared" ref="O7:O17" si="14">N7+O6</f>
        <v>7.5902208349999958</v>
      </c>
      <c r="P7" s="9">
        <f t="shared" ref="P7:P17" si="15">(N7-N6)/ABS(N6)</f>
        <v>-0.20355489759268616</v>
      </c>
      <c r="Q7" s="38"/>
      <c r="R7" s="20" t="s">
        <v>35</v>
      </c>
      <c r="S7" s="32">
        <f t="shared" ref="S7" si="16">K7/D7*$C$18</f>
        <v>98.950755926894146</v>
      </c>
      <c r="T7" s="32">
        <f t="shared" ref="T7" si="17">M7/F7*$E$18</f>
        <v>98.094796233873851</v>
      </c>
      <c r="U7" s="37">
        <f t="shared" ref="U7" si="18">S7-T7</f>
        <v>0.85595969302029573</v>
      </c>
      <c r="V7" s="38"/>
      <c r="W7" s="38"/>
    </row>
    <row r="8" spans="2:26" x14ac:dyDescent="0.35">
      <c r="B8" s="20" t="s">
        <v>36</v>
      </c>
      <c r="C8" s="7">
        <f>VLOOKUP(B8,[1]old_ddr_pivot!$A:$B,2,0)</f>
        <v>76135223.5</v>
      </c>
      <c r="D8" s="7">
        <f t="shared" si="8"/>
        <v>317902729.83000004</v>
      </c>
      <c r="E8" s="7">
        <f>VLOOKUP(B8,[1]old_coll_pivot!$A:$B,2,0)</f>
        <v>61129156.600000001</v>
      </c>
      <c r="F8" s="7">
        <f t="shared" si="9"/>
        <v>228529511.24999997</v>
      </c>
      <c r="G8" s="7">
        <f t="shared" si="3"/>
        <v>15006066.899999999</v>
      </c>
      <c r="H8" s="7">
        <f t="shared" si="10"/>
        <v>89373218.580000013</v>
      </c>
      <c r="I8" s="9">
        <f t="shared" si="11"/>
        <v>-4.1380750987787492E-2</v>
      </c>
      <c r="J8" s="32">
        <f>IFERROR(VLOOKUP(B8,[1]new_ddr_pivot!$A:$B,2,0),0)/10000000</f>
        <v>3.4736898549999995</v>
      </c>
      <c r="K8" s="32">
        <f t="shared" si="12"/>
        <v>35.363519366999995</v>
      </c>
      <c r="L8" s="32">
        <f>IFERROR(VLOOKUP(B8,[1]new_coll_pivot!$A:$B,2,0),0)/10000000</f>
        <v>3.4341091950000004</v>
      </c>
      <c r="M8" s="7">
        <f t="shared" si="13"/>
        <v>27.733717872000003</v>
      </c>
      <c r="N8" s="32">
        <f t="shared" si="4"/>
        <v>3.9580659999999046E-2</v>
      </c>
      <c r="O8" s="41">
        <f t="shared" si="14"/>
        <v>7.6298014949999953</v>
      </c>
      <c r="P8" s="9">
        <f t="shared" si="15"/>
        <v>-0.98559991166366212</v>
      </c>
      <c r="Q8" s="38"/>
      <c r="R8" s="20" t="s">
        <v>36</v>
      </c>
      <c r="S8" s="32">
        <f t="shared" ref="S8:S10" si="19">K8/D8*$C$18</f>
        <v>83.449948320842481</v>
      </c>
      <c r="T8" s="32">
        <f t="shared" ref="T8:T10" si="20">M8/F8*$E$18</f>
        <v>82.010387858823634</v>
      </c>
      <c r="U8" s="37">
        <f t="shared" ref="U8:U10" si="21">S8-T8</f>
        <v>1.4395604620188465</v>
      </c>
      <c r="V8" s="38"/>
      <c r="W8" s="38"/>
    </row>
    <row r="9" spans="2:26" x14ac:dyDescent="0.35">
      <c r="B9" s="20" t="s">
        <v>37</v>
      </c>
      <c r="C9" s="7">
        <f>VLOOKUP(B9,[1]old_ddr_pivot!$A:$B,2,0)</f>
        <v>71063484.579999998</v>
      </c>
      <c r="D9" s="7">
        <f t="shared" si="8"/>
        <v>388966214.41000003</v>
      </c>
      <c r="E9" s="7">
        <f>VLOOKUP(B9,[1]old_coll_pivot!$A:$B,2,0)</f>
        <v>66007776.93</v>
      </c>
      <c r="F9" s="7">
        <f t="shared" si="9"/>
        <v>294537288.17999995</v>
      </c>
      <c r="G9" s="7">
        <f t="shared" si="3"/>
        <v>5055707.6499999985</v>
      </c>
      <c r="H9" s="7">
        <f t="shared" si="10"/>
        <v>94428926.230000019</v>
      </c>
      <c r="I9" s="9">
        <f t="shared" si="11"/>
        <v>-0.66308909031986263</v>
      </c>
      <c r="J9" s="32">
        <f>IFERROR(VLOOKUP(B9,[1]new_ddr_pivot!$A:$B,2,0),0)/10000000</f>
        <v>0</v>
      </c>
      <c r="K9" s="32">
        <f t="shared" si="12"/>
        <v>35.363519366999995</v>
      </c>
      <c r="L9" s="32">
        <f>IFERROR(VLOOKUP(B9,[1]new_coll_pivot!$A:$B,2,0),0)/10000000</f>
        <v>0</v>
      </c>
      <c r="M9" s="7">
        <f t="shared" si="13"/>
        <v>27.733717872000003</v>
      </c>
      <c r="N9" s="32">
        <f t="shared" si="4"/>
        <v>0</v>
      </c>
      <c r="O9" s="41">
        <f t="shared" si="14"/>
        <v>7.6298014949999953</v>
      </c>
      <c r="P9" s="9">
        <f t="shared" si="15"/>
        <v>-1</v>
      </c>
      <c r="Q9" s="38"/>
      <c r="R9" s="20" t="s">
        <v>37</v>
      </c>
      <c r="S9" s="32">
        <f t="shared" si="19"/>
        <v>68.203780669250364</v>
      </c>
      <c r="T9" s="32">
        <f t="shared" si="20"/>
        <v>63.631311236037</v>
      </c>
      <c r="U9" s="37">
        <f t="shared" si="21"/>
        <v>4.5724694332133637</v>
      </c>
      <c r="V9" s="40"/>
      <c r="W9" s="40"/>
      <c r="X9" s="40"/>
    </row>
    <row r="10" spans="2:26" x14ac:dyDescent="0.35">
      <c r="B10" s="20" t="s">
        <v>38</v>
      </c>
      <c r="C10" s="7">
        <f>VLOOKUP(B10,[1]old_ddr_pivot!$A:$B,2,0)</f>
        <v>84326318.019999996</v>
      </c>
      <c r="D10" s="7">
        <f t="shared" si="8"/>
        <v>473292532.43000001</v>
      </c>
      <c r="E10" s="7">
        <f>VLOOKUP(B10,[1]old_coll_pivot!$A:$B,2,0)</f>
        <v>104168315.88</v>
      </c>
      <c r="F10" s="7">
        <f t="shared" si="9"/>
        <v>398705604.05999994</v>
      </c>
      <c r="G10" s="7">
        <f t="shared" si="3"/>
        <v>-19841997.859999999</v>
      </c>
      <c r="H10" s="7">
        <f t="shared" si="10"/>
        <v>74586928.37000002</v>
      </c>
      <c r="I10" s="9">
        <f t="shared" si="11"/>
        <v>-4.9246727132254184</v>
      </c>
      <c r="J10" s="32">
        <f>IFERROR(VLOOKUP(B10,[1]new_ddr_pivot!$A:$B,2,0),0)/10000000</f>
        <v>0</v>
      </c>
      <c r="K10" s="32">
        <f t="shared" si="12"/>
        <v>35.363519366999995</v>
      </c>
      <c r="L10" s="32">
        <f>IFERROR(VLOOKUP(B10,[1]new_coll_pivot!$A:$B,2,0),0)/10000000</f>
        <v>0</v>
      </c>
      <c r="M10" s="7">
        <f t="shared" si="13"/>
        <v>27.733717872000003</v>
      </c>
      <c r="N10" s="32">
        <f t="shared" si="4"/>
        <v>0</v>
      </c>
      <c r="O10" s="41">
        <f t="shared" si="14"/>
        <v>7.6298014949999953</v>
      </c>
      <c r="P10" s="9" t="e">
        <f t="shared" si="15"/>
        <v>#DIV/0!</v>
      </c>
      <c r="Q10" s="38"/>
      <c r="R10" s="20" t="s">
        <v>38</v>
      </c>
      <c r="S10" s="32">
        <f t="shared" si="19"/>
        <v>56.051943687262565</v>
      </c>
      <c r="T10" s="32">
        <f t="shared" si="20"/>
        <v>47.00659750942328</v>
      </c>
      <c r="U10" s="37">
        <f t="shared" si="21"/>
        <v>9.045346177839285</v>
      </c>
      <c r="V10" s="40"/>
      <c r="W10" s="40"/>
    </row>
    <row r="11" spans="2:26" x14ac:dyDescent="0.35">
      <c r="B11" s="20" t="s">
        <v>39</v>
      </c>
      <c r="C11" s="7">
        <f>VLOOKUP(B11,[1]old_ddr_pivot!$A:$B,2,0)</f>
        <v>65974681.850000001</v>
      </c>
      <c r="D11" s="7">
        <f t="shared" si="8"/>
        <v>539267214.27999997</v>
      </c>
      <c r="E11" s="7">
        <f>VLOOKUP(B11,[1]old_coll_pivot!$A:$B,2,0)</f>
        <v>76163961.430000007</v>
      </c>
      <c r="F11" s="7">
        <f t="shared" si="9"/>
        <v>474869565.48999995</v>
      </c>
      <c r="G11" s="7">
        <f t="shared" si="3"/>
        <v>-10189279.580000006</v>
      </c>
      <c r="H11" s="7">
        <f t="shared" si="10"/>
        <v>64397648.790000014</v>
      </c>
      <c r="I11" s="9">
        <f t="shared" si="11"/>
        <v>0.48647915134892539</v>
      </c>
      <c r="J11" s="32">
        <f>IFERROR(VLOOKUP(B11,[1]new_ddr_pivot!$A:$B,2,0),0)/10000000</f>
        <v>0</v>
      </c>
      <c r="K11" s="32">
        <f t="shared" si="12"/>
        <v>35.363519366999995</v>
      </c>
      <c r="L11" s="32">
        <f>IFERROR(VLOOKUP(B11,[1]new_coll_pivot!$A:$B,2,0),0)/10000000</f>
        <v>0</v>
      </c>
      <c r="M11" s="7">
        <f t="shared" si="13"/>
        <v>27.733717872000003</v>
      </c>
      <c r="N11" s="32">
        <f t="shared" si="4"/>
        <v>0</v>
      </c>
      <c r="O11" s="41">
        <f t="shared" si="14"/>
        <v>7.6298014949999953</v>
      </c>
      <c r="P11" s="9" t="e">
        <f t="shared" si="15"/>
        <v>#DIV/0!</v>
      </c>
      <c r="Q11" s="38"/>
      <c r="R11" s="20" t="s">
        <v>39</v>
      </c>
      <c r="S11" s="32"/>
      <c r="T11" s="32"/>
      <c r="U11" s="37"/>
      <c r="V11" s="38"/>
      <c r="W11" s="38"/>
    </row>
    <row r="12" spans="2:26" x14ac:dyDescent="0.35">
      <c r="B12" s="20" t="s">
        <v>40</v>
      </c>
      <c r="C12" s="7">
        <f>VLOOKUP(B12,[1]old_ddr_pivot!$A:$B,2,0)</f>
        <v>80368468.609999999</v>
      </c>
      <c r="D12" s="7">
        <f t="shared" si="8"/>
        <v>619635682.88999999</v>
      </c>
      <c r="E12" s="7">
        <f>VLOOKUP(B12,[1]old_coll_pivot!$A:$B,2,0)</f>
        <v>57851803.479999997</v>
      </c>
      <c r="F12" s="7">
        <f t="shared" si="9"/>
        <v>532721368.96999997</v>
      </c>
      <c r="G12" s="7">
        <f t="shared" si="3"/>
        <v>22516665.130000003</v>
      </c>
      <c r="H12" s="7">
        <f t="shared" si="10"/>
        <v>86914313.920000017</v>
      </c>
      <c r="I12" s="9">
        <f t="shared" si="11"/>
        <v>3.2098387774339576</v>
      </c>
      <c r="J12" s="32">
        <f>IFERROR(VLOOKUP(B12,[1]new_ddr_pivot!$A:$B,2,0),0)/10000000</f>
        <v>0</v>
      </c>
      <c r="K12" s="32">
        <f t="shared" si="12"/>
        <v>35.363519366999995</v>
      </c>
      <c r="L12" s="32">
        <f>IFERROR(VLOOKUP(B12,[1]new_coll_pivot!$A:$B,2,0),0)/10000000</f>
        <v>0</v>
      </c>
      <c r="M12" s="7">
        <f t="shared" si="13"/>
        <v>27.733717872000003</v>
      </c>
      <c r="N12" s="32">
        <f t="shared" si="4"/>
        <v>0</v>
      </c>
      <c r="O12" s="41">
        <f t="shared" si="14"/>
        <v>7.6298014949999953</v>
      </c>
      <c r="P12" s="9" t="e">
        <f t="shared" si="15"/>
        <v>#DIV/0!</v>
      </c>
      <c r="Q12" s="38"/>
      <c r="R12" s="20" t="s">
        <v>40</v>
      </c>
      <c r="S12" s="32"/>
      <c r="T12" s="32"/>
      <c r="U12" s="37"/>
      <c r="V12" s="38"/>
      <c r="W12" s="38"/>
    </row>
    <row r="13" spans="2:26" x14ac:dyDescent="0.35">
      <c r="B13" s="20" t="s">
        <v>41</v>
      </c>
      <c r="C13" s="7">
        <f>VLOOKUP(B13,[1]old_ddr_pivot!$A:$B,2,0)</f>
        <v>56341171</v>
      </c>
      <c r="D13" s="7">
        <f t="shared" si="8"/>
        <v>675976853.88999999</v>
      </c>
      <c r="E13" s="7">
        <f>VLOOKUP(B13,[1]old_coll_pivot!$A:$B,2,0)</f>
        <v>58673187.689999998</v>
      </c>
      <c r="F13" s="7">
        <f t="shared" si="9"/>
        <v>591394556.65999997</v>
      </c>
      <c r="G13" s="7">
        <f t="shared" si="3"/>
        <v>-2332016.6899999976</v>
      </c>
      <c r="H13" s="7">
        <f t="shared" si="10"/>
        <v>84582297.230000019</v>
      </c>
      <c r="I13" s="9">
        <f t="shared" si="11"/>
        <v>-1.1035684759060054</v>
      </c>
      <c r="J13" s="32">
        <f>IFERROR(VLOOKUP(B13,[1]new_ddr_pivot!$A:$B,2,0),0)/10000000</f>
        <v>0</v>
      </c>
      <c r="K13" s="32">
        <f t="shared" si="12"/>
        <v>35.363519366999995</v>
      </c>
      <c r="L13" s="32">
        <f>IFERROR(VLOOKUP(B13,[1]new_coll_pivot!$A:$B,2,0),0)/10000000</f>
        <v>0</v>
      </c>
      <c r="M13" s="7">
        <f t="shared" si="13"/>
        <v>27.733717872000003</v>
      </c>
      <c r="N13" s="32">
        <f t="shared" si="4"/>
        <v>0</v>
      </c>
      <c r="O13" s="41">
        <f t="shared" si="14"/>
        <v>7.6298014949999953</v>
      </c>
      <c r="P13" s="9" t="e">
        <f t="shared" si="15"/>
        <v>#DIV/0!</v>
      </c>
      <c r="Q13" s="38"/>
      <c r="R13" s="20" t="s">
        <v>41</v>
      </c>
      <c r="S13" s="32"/>
      <c r="T13" s="32"/>
      <c r="U13" s="37"/>
      <c r="V13" s="38"/>
      <c r="W13" s="38"/>
    </row>
    <row r="14" spans="2:26" x14ac:dyDescent="0.35">
      <c r="B14" s="20" t="s">
        <v>42</v>
      </c>
      <c r="C14" s="7">
        <f>VLOOKUP(B14,[1]old_ddr_pivot!$A:$B,2,0)</f>
        <v>33038749.359999999</v>
      </c>
      <c r="D14" s="7">
        <f t="shared" si="8"/>
        <v>709015603.25</v>
      </c>
      <c r="E14" s="7">
        <f>VLOOKUP(B14,[1]old_coll_pivot!$A:$B,2,0)</f>
        <v>24547667.43</v>
      </c>
      <c r="F14" s="7">
        <f t="shared" si="9"/>
        <v>615942224.08999991</v>
      </c>
      <c r="G14" s="7">
        <f t="shared" si="3"/>
        <v>8491081.9299999997</v>
      </c>
      <c r="H14" s="7">
        <f t="shared" si="10"/>
        <v>93073379.160000026</v>
      </c>
      <c r="I14" s="9">
        <f t="shared" si="11"/>
        <v>4.6410896913435078</v>
      </c>
      <c r="J14" s="32">
        <f>IFERROR(VLOOKUP(B14,[1]new_ddr_pivot!$A:$B,2,0),0)/10000000</f>
        <v>0</v>
      </c>
      <c r="K14" s="32">
        <f t="shared" si="12"/>
        <v>35.363519366999995</v>
      </c>
      <c r="L14" s="32">
        <f>IFERROR(VLOOKUP(B14,[1]new_coll_pivot!$A:$B,2,0),0)/10000000</f>
        <v>0</v>
      </c>
      <c r="M14" s="7">
        <f t="shared" si="13"/>
        <v>27.733717872000003</v>
      </c>
      <c r="N14" s="32">
        <f t="shared" si="4"/>
        <v>0</v>
      </c>
      <c r="O14" s="41">
        <f t="shared" si="14"/>
        <v>7.6298014949999953</v>
      </c>
      <c r="P14" s="9" t="e">
        <f t="shared" si="15"/>
        <v>#DIV/0!</v>
      </c>
      <c r="Q14" s="38"/>
      <c r="R14" s="20" t="s">
        <v>42</v>
      </c>
      <c r="S14" s="32"/>
      <c r="T14" s="32"/>
      <c r="U14" s="37"/>
      <c r="V14" s="38"/>
      <c r="W14" s="38"/>
    </row>
    <row r="15" spans="2:26" x14ac:dyDescent="0.35">
      <c r="B15" s="20" t="s">
        <v>43</v>
      </c>
      <c r="C15" s="7">
        <f>VLOOKUP(B15,[1]old_ddr_pivot!$A:$B,2,0)</f>
        <v>25187460.210000001</v>
      </c>
      <c r="D15" s="7">
        <f t="shared" si="8"/>
        <v>734203063.46000004</v>
      </c>
      <c r="E15" s="7">
        <f>VLOOKUP(B15,[1]old_coll_pivot!$A:$B,2,0)</f>
        <v>28701149.699999999</v>
      </c>
      <c r="F15" s="7">
        <f t="shared" si="9"/>
        <v>644643373.78999996</v>
      </c>
      <c r="G15" s="7">
        <f t="shared" si="3"/>
        <v>-3513689.4899999984</v>
      </c>
      <c r="H15" s="7">
        <f t="shared" si="10"/>
        <v>89559689.670000032</v>
      </c>
      <c r="I15" s="9">
        <f t="shared" si="11"/>
        <v>-1.4138093966077181</v>
      </c>
      <c r="J15" s="32">
        <f>IFERROR(VLOOKUP(B15,[1]new_ddr_pivot!$A:$B,2,0),0)/10000000</f>
        <v>0</v>
      </c>
      <c r="K15" s="32">
        <f t="shared" si="12"/>
        <v>35.363519366999995</v>
      </c>
      <c r="L15" s="32">
        <f>IFERROR(VLOOKUP(B15,[1]new_coll_pivot!$A:$B,2,0),0)/10000000</f>
        <v>0</v>
      </c>
      <c r="M15" s="7">
        <f t="shared" si="13"/>
        <v>27.733717872000003</v>
      </c>
      <c r="N15" s="24">
        <f t="shared" si="4"/>
        <v>0</v>
      </c>
      <c r="O15" s="41">
        <f t="shared" si="14"/>
        <v>7.6298014949999953</v>
      </c>
      <c r="P15" s="9" t="e">
        <f t="shared" si="15"/>
        <v>#DIV/0!</v>
      </c>
      <c r="Q15" s="38"/>
      <c r="R15" s="20" t="s">
        <v>43</v>
      </c>
      <c r="S15" s="32"/>
      <c r="T15" s="32"/>
      <c r="U15" s="37"/>
      <c r="V15" s="19"/>
      <c r="W15" s="19"/>
    </row>
    <row r="16" spans="2:26" x14ac:dyDescent="0.35">
      <c r="B16" s="20" t="s">
        <v>44</v>
      </c>
      <c r="C16" s="7">
        <f>VLOOKUP(B16,[1]old_ddr_pivot!$A:$B,2,0)</f>
        <v>13167262.49</v>
      </c>
      <c r="D16" s="7">
        <f t="shared" si="8"/>
        <v>747370325.95000005</v>
      </c>
      <c r="E16" s="7">
        <f>VLOOKUP(B16,[1]old_coll_pivot!$A:$B,2,0)</f>
        <v>21125667.41</v>
      </c>
      <c r="F16" s="7">
        <f t="shared" si="9"/>
        <v>665769041.19999993</v>
      </c>
      <c r="G16" s="7">
        <f t="shared" si="3"/>
        <v>-7958404.9199999999</v>
      </c>
      <c r="H16" s="7">
        <f t="shared" si="10"/>
        <v>81601284.75000003</v>
      </c>
      <c r="I16" s="9">
        <f t="shared" si="11"/>
        <v>-1.2649710347626659</v>
      </c>
      <c r="J16" s="32">
        <f>IFERROR(VLOOKUP(B16,[1]new_ddr_pivot!$A:$B,2,0),0)/10000000</f>
        <v>0</v>
      </c>
      <c r="K16" s="32">
        <f t="shared" si="12"/>
        <v>35.363519366999995</v>
      </c>
      <c r="L16" s="32">
        <f>IFERROR(VLOOKUP(B16,[1]new_coll_pivot!$A:$B,2,0),0)/10000000</f>
        <v>0</v>
      </c>
      <c r="M16" s="7">
        <f t="shared" si="13"/>
        <v>27.733717872000003</v>
      </c>
      <c r="N16" s="24">
        <f t="shared" si="4"/>
        <v>0</v>
      </c>
      <c r="O16" s="41">
        <f t="shared" si="14"/>
        <v>7.6298014949999953</v>
      </c>
      <c r="P16" s="9" t="e">
        <f t="shared" si="15"/>
        <v>#DIV/0!</v>
      </c>
      <c r="Q16" s="38"/>
      <c r="R16" s="20" t="s">
        <v>44</v>
      </c>
      <c r="S16" s="32"/>
      <c r="T16" s="32"/>
      <c r="U16" s="37"/>
      <c r="V16" s="19"/>
      <c r="W16" s="19"/>
    </row>
    <row r="17" spans="2:23" x14ac:dyDescent="0.35">
      <c r="B17" s="20" t="s">
        <v>45</v>
      </c>
      <c r="C17" s="7">
        <f>VLOOKUP(B17,[1]old_ddr_pivot!$A:$B,2,0)</f>
        <v>2808583</v>
      </c>
      <c r="D17" s="7">
        <f t="shared" si="8"/>
        <v>750178908.95000005</v>
      </c>
      <c r="E17" s="7">
        <f>VLOOKUP(B17,[1]old_coll_pivot!$A:$B,2,0)</f>
        <v>10007424.880000001</v>
      </c>
      <c r="F17" s="7">
        <f t="shared" si="9"/>
        <v>675776466.07999992</v>
      </c>
      <c r="G17" s="7">
        <f t="shared" si="3"/>
        <v>-7198841.8800000008</v>
      </c>
      <c r="H17" s="7">
        <f t="shared" si="10"/>
        <v>74402442.870000035</v>
      </c>
      <c r="I17" s="9">
        <f t="shared" si="11"/>
        <v>9.5441617715525728E-2</v>
      </c>
      <c r="J17" s="32">
        <f>IFERROR(VLOOKUP(B17,[1]new_ddr_pivot!$A:$B,2,0),0)/10000000</f>
        <v>0</v>
      </c>
      <c r="K17" s="32">
        <f t="shared" si="12"/>
        <v>35.363519366999995</v>
      </c>
      <c r="L17" s="32">
        <f>IFERROR(VLOOKUP(B17,[1]new_coll_pivot!$A:$B,2,0),0)/10000000</f>
        <v>0</v>
      </c>
      <c r="M17" s="7">
        <f t="shared" si="13"/>
        <v>27.733717872000003</v>
      </c>
      <c r="N17" s="24">
        <f t="shared" si="4"/>
        <v>0</v>
      </c>
      <c r="O17" s="41">
        <f t="shared" si="14"/>
        <v>7.6298014949999953</v>
      </c>
      <c r="P17" s="9" t="e">
        <f t="shared" si="15"/>
        <v>#DIV/0!</v>
      </c>
      <c r="Q17" s="38"/>
      <c r="R17" s="20" t="s">
        <v>45</v>
      </c>
      <c r="S17" s="32"/>
      <c r="T17" s="32"/>
      <c r="U17" s="25"/>
      <c r="V17" s="19"/>
      <c r="W17" s="19"/>
    </row>
    <row r="18" spans="2:23" x14ac:dyDescent="0.35">
      <c r="B18" s="3"/>
      <c r="C18" s="10">
        <f>SUBTOTAL(9,C5:C17)</f>
        <v>750178908.95000005</v>
      </c>
      <c r="D18" s="10"/>
      <c r="E18" s="10">
        <f>SUBTOTAL(9,E5:E17)</f>
        <v>675776466.07999992</v>
      </c>
      <c r="F18" s="10"/>
      <c r="G18" s="10">
        <f>SUBTOTAL(9,G5:G17)</f>
        <v>74402442.870000035</v>
      </c>
      <c r="H18" s="10"/>
      <c r="I18" s="10"/>
      <c r="J18" s="33">
        <f>SUBTOTAL(9,J5:J17)</f>
        <v>35.363519366999995</v>
      </c>
      <c r="K18" s="31"/>
      <c r="L18" s="33">
        <f>SUBTOTAL(9,L5:L17)</f>
        <v>27.733717872000003</v>
      </c>
      <c r="M18" s="31"/>
      <c r="N18" s="33">
        <f>SUBTOTAL(9,N5:N17)</f>
        <v>7.6298014949999953</v>
      </c>
      <c r="O18" s="31"/>
      <c r="P18" s="31"/>
    </row>
    <row r="19" spans="2:23" x14ac:dyDescent="0.35">
      <c r="C19" s="19"/>
      <c r="K19" s="18"/>
    </row>
    <row r="20" spans="2:23" x14ac:dyDescent="0.35">
      <c r="J20" s="5" t="s">
        <v>1</v>
      </c>
      <c r="K20" s="34">
        <f>J18</f>
        <v>35.363519366999995</v>
      </c>
      <c r="M20" s="5" t="s">
        <v>51</v>
      </c>
      <c r="N20" s="34">
        <f>S16</f>
        <v>0</v>
      </c>
    </row>
    <row r="21" spans="2:23" x14ac:dyDescent="0.35">
      <c r="J21" s="5" t="s">
        <v>3</v>
      </c>
      <c r="K21" s="34">
        <f>L18</f>
        <v>27.733717872000003</v>
      </c>
      <c r="M21" s="5" t="s">
        <v>52</v>
      </c>
      <c r="N21" s="34">
        <f>T16</f>
        <v>0</v>
      </c>
    </row>
    <row r="22" spans="2:23" x14ac:dyDescent="0.35">
      <c r="J22" s="3" t="s">
        <v>8</v>
      </c>
      <c r="K22" s="35">
        <f>K20-K21</f>
        <v>7.6298014949999917</v>
      </c>
      <c r="M22" s="3" t="s">
        <v>53</v>
      </c>
      <c r="N22" s="36">
        <f>N20-N21</f>
        <v>0</v>
      </c>
    </row>
  </sheetData>
  <mergeCells count="3">
    <mergeCell ref="C3:I3"/>
    <mergeCell ref="J3:P3"/>
    <mergeCell ref="S3:U3"/>
  </mergeCells>
  <conditionalFormatting sqref="I6:I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G5:G17 N5:N17 E5:E18 L5:L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Mintifi</dc:creator>
  <cp:lastModifiedBy>Meet Satra</cp:lastModifiedBy>
  <dcterms:created xsi:type="dcterms:W3CDTF">2023-11-28T09:15:29Z</dcterms:created>
  <dcterms:modified xsi:type="dcterms:W3CDTF">2025-02-18T15:57:42Z</dcterms:modified>
</cp:coreProperties>
</file>