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ropbox\Research Papers\Minerva - Influence and Basing\NSF\Budget\"/>
    </mc:Choice>
  </mc:AlternateContent>
  <xr:revisionPtr revIDLastSave="0" documentId="13_ncr:1_{2AC52954-0609-4DEB-93F6-AA4EEBE12E1A}" xr6:coauthVersionLast="47" xr6:coauthVersionMax="47" xr10:uidLastSave="{00000000-0000-0000-0000-000000000000}"/>
  <bookViews>
    <workbookView xWindow="3990" yWindow="2550" windowWidth="27990" windowHeight="1515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1" i="2"/>
  <c r="B25" i="2"/>
  <c r="B6" i="2"/>
  <c r="L6" i="2" s="1"/>
  <c r="B8" i="2"/>
  <c r="B5" i="2"/>
  <c r="L5" i="2" s="1"/>
  <c r="M5" i="2" s="1"/>
  <c r="B22" i="2"/>
  <c r="L8" i="2" l="1"/>
  <c r="M8" i="2" s="1"/>
  <c r="B28" i="2"/>
  <c r="L4" i="2"/>
  <c r="M4" i="2" s="1"/>
  <c r="C18" i="1"/>
  <c r="D18" i="1"/>
  <c r="B18" i="1"/>
  <c r="D22" i="1"/>
  <c r="C22" i="1"/>
  <c r="E22" i="1" s="1"/>
  <c r="E6" i="1"/>
  <c r="M6" i="2" l="1"/>
  <c r="L7" i="2"/>
  <c r="M7" i="2"/>
  <c r="B29" i="2"/>
  <c r="B28" i="1"/>
  <c r="C28" i="1"/>
  <c r="D28" i="1"/>
  <c r="E4" i="1"/>
  <c r="E25" i="1" l="1"/>
  <c r="E5" i="1"/>
  <c r="E7" i="1"/>
  <c r="C16" i="1" l="1"/>
  <c r="D16" i="1"/>
  <c r="B16" i="1"/>
  <c r="E12" i="1"/>
  <c r="E28" i="1" s="1"/>
  <c r="E13" i="1"/>
  <c r="E14" i="1"/>
  <c r="C20" i="1"/>
  <c r="C27" i="1" s="1"/>
  <c r="D27" i="1"/>
  <c r="B27" i="1"/>
  <c r="C8" i="1"/>
  <c r="C9" i="1" s="1"/>
  <c r="D9" i="1"/>
  <c r="B9" i="1" l="1"/>
  <c r="B26" i="1"/>
  <c r="E27" i="1"/>
  <c r="E11" i="1"/>
  <c r="D26" i="1"/>
  <c r="C26" i="1"/>
  <c r="E26" i="1" s="1"/>
  <c r="E20" i="1" l="1"/>
  <c r="C24" i="1"/>
  <c r="C29" i="1" s="1"/>
  <c r="C30" i="1" s="1"/>
  <c r="B24" i="1"/>
  <c r="B29" i="1" s="1"/>
  <c r="B30" i="1" s="1"/>
  <c r="E15" i="1"/>
  <c r="E16" i="1" s="1"/>
  <c r="E18" i="1" l="1"/>
  <c r="D24" i="1"/>
  <c r="D29" i="1" s="1"/>
  <c r="D30" i="1" s="1"/>
  <c r="E24" i="1" l="1"/>
  <c r="E29" i="1" s="1"/>
  <c r="E8" i="1" l="1"/>
  <c r="E9" i="1" s="1"/>
  <c r="E30" i="1" s="1"/>
  <c r="B30" i="2"/>
  <c r="B32" i="2" s="1"/>
</calcChain>
</file>

<file path=xl/sharedStrings.xml><?xml version="1.0" encoding="utf-8"?>
<sst xmlns="http://schemas.openxmlformats.org/spreadsheetml/2006/main" count="109" uniqueCount="72">
  <si>
    <t>Year 1</t>
  </si>
  <si>
    <t>Year 2</t>
  </si>
  <si>
    <t>Year 3</t>
  </si>
  <si>
    <t>Subtotals</t>
  </si>
  <si>
    <t>Salaries &amp; Wages</t>
  </si>
  <si>
    <t>Research assistant salaries</t>
  </si>
  <si>
    <t>Travel-domestic</t>
  </si>
  <si>
    <t>Conference presentations and collaboration</t>
  </si>
  <si>
    <t>Travel-International</t>
  </si>
  <si>
    <t>Direct survey work</t>
  </si>
  <si>
    <t>Surveys</t>
  </si>
  <si>
    <t>Survey contract work</t>
  </si>
  <si>
    <t>Total</t>
  </si>
  <si>
    <t>We can use this to calculate costs and then copy totals into Word doc</t>
  </si>
  <si>
    <t>Allen</t>
  </si>
  <si>
    <t>Flynn</t>
  </si>
  <si>
    <t>Martinez Machain</t>
  </si>
  <si>
    <t>Faculty summer salaries (fringe included)</t>
  </si>
  <si>
    <t>KSU GRA</t>
  </si>
  <si>
    <t>Boise State GRA</t>
  </si>
  <si>
    <t>Indirects</t>
  </si>
  <si>
    <t>Boise State</t>
  </si>
  <si>
    <t>Kansas State</t>
  </si>
  <si>
    <t>Joyce</t>
  </si>
  <si>
    <t>Blankenship</t>
  </si>
  <si>
    <t>Buffalo GRA</t>
  </si>
  <si>
    <t xml:space="preserve">Buffalo </t>
  </si>
  <si>
    <t>Miami</t>
  </si>
  <si>
    <t>Buffalo indirects are 60%</t>
  </si>
  <si>
    <t>ballparking the survey contract work based on what the djibouti guy told us, but someone else should feel free to change this</t>
  </si>
  <si>
    <t>Brandeis GRA</t>
  </si>
  <si>
    <t>Miami GRA</t>
  </si>
  <si>
    <t>Calculating 6k per person, per international trip. Assuming 3 people per country, 2 countries each year. Is that too high or too low?</t>
  </si>
  <si>
    <t>fringe is huge at buffalo, 62% (ugh)</t>
  </si>
  <si>
    <t>Miami has a 28% fringe rate</t>
  </si>
  <si>
    <t>Miami's standard indirect rate is 13% (I added all the non-salary stuff to the Miami rate)</t>
  </si>
  <si>
    <t>SUNY grad fringe is 13%</t>
  </si>
  <si>
    <t>Brandeis has a 27% fringe rate</t>
  </si>
  <si>
    <t>Brandeis</t>
  </si>
  <si>
    <t>Brandeis indirects are 62.5%</t>
  </si>
  <si>
    <t>Brandeis grad fringe is 7.7%</t>
  </si>
  <si>
    <t>BSU is 40.5%</t>
  </si>
  <si>
    <t>KSU grad fringe is 15%</t>
  </si>
  <si>
    <t>KSU Indirect rate is 52%</t>
  </si>
  <si>
    <t>KSU fringe is 32%. Also assuming pay increase with promotion in year 2 and 2% COL adjustment after that.</t>
  </si>
  <si>
    <t>Total faculty salaries</t>
  </si>
  <si>
    <t>Total GRA salaries</t>
  </si>
  <si>
    <t>doing 1 month total of summer pay per PI, rotating who gets it each year</t>
  </si>
  <si>
    <t>dropping the Boise, KSU, and Buffalo RAs</t>
  </si>
  <si>
    <t>cut this down to only traveling internationally on year 2</t>
  </si>
  <si>
    <t>calculated 2k per conference (or trip to Miami for us all to collaborate), 1 trip per year per PI</t>
  </si>
  <si>
    <t>cut down to 1 conference per year per person</t>
  </si>
  <si>
    <t>2 months each of summer pay (can everyone make sure that these calculations include your fringe?)</t>
  </si>
  <si>
    <t>This is 2 surveys, Cambodia and Djibouti, estimated at 40 K each. For Kenya we use our existing survey</t>
  </si>
  <si>
    <t>Miami indirects are 50.5%</t>
  </si>
  <si>
    <t>Miami URA</t>
  </si>
  <si>
    <t>Miami part-time fringe is 10.1%</t>
  </si>
  <si>
    <t>Assumes ~2% COL increase</t>
  </si>
  <si>
    <t>Base Salary</t>
  </si>
  <si>
    <t>Fringe</t>
  </si>
  <si>
    <t>calculated 1.6k per conference (or trip to Miami for us all to collaborate), 1 trip per year per PI</t>
  </si>
  <si>
    <t>Flights to Djibouti vary widely. $4k looks to be a rough medium for flights with a reasonable number (2 or less) of stops</t>
  </si>
  <si>
    <t>Calculating 8.6k per person, with 4 people traveling to Djibouti</t>
  </si>
  <si>
    <t>Total directs</t>
  </si>
  <si>
    <t>Miami has a 23.8% fringe rate</t>
  </si>
  <si>
    <t>KSU fringe is 32.8%. Assumes 2% pay increase from current salary.</t>
  </si>
  <si>
    <t>KSU grad fringe is 14%</t>
  </si>
  <si>
    <t>Laptop for Flynn Kansas State</t>
  </si>
  <si>
    <t>Assumes ~2.4% COL increase</t>
  </si>
  <si>
    <t>RJ: recommend calculating 9.1k per person to reflect State Department per diem rates (in my experience, this is what good hotels will charge)</t>
  </si>
  <si>
    <t>Equipment</t>
  </si>
  <si>
    <t>BSU is 40.5%; manually entered since we need to tax travel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</si>
</sst>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.5"/>
      <color rgb="FF201F1E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4" fillId="0" borderId="1" xfId="0" applyFont="1" applyBorder="1"/>
    <xf numFmtId="165" fontId="5" fillId="0" borderId="1" xfId="1" applyNumberFormat="1" applyFont="1" applyBorder="1"/>
    <xf numFmtId="165" fontId="3" fillId="0" borderId="1" xfId="1" applyNumberFormat="1" applyFont="1" applyBorder="1" applyAlignment="1">
      <alignment horizontal="right" vertical="center"/>
    </xf>
    <xf numFmtId="165" fontId="3" fillId="0" borderId="1" xfId="1" applyNumberFormat="1" applyFont="1" applyFill="1" applyBorder="1" applyAlignment="1">
      <alignment horizontal="right" vertical="center"/>
    </xf>
    <xf numFmtId="165" fontId="5" fillId="0" borderId="1" xfId="1" applyNumberFormat="1" applyFont="1" applyFill="1" applyBorder="1"/>
    <xf numFmtId="165" fontId="6" fillId="0" borderId="1" xfId="1" applyNumberFormat="1" applyFont="1" applyBorder="1" applyAlignment="1">
      <alignment horizontal="right" vertical="center"/>
    </xf>
    <xf numFmtId="165" fontId="0" fillId="0" borderId="0" xfId="0" applyNumberFormat="1"/>
    <xf numFmtId="165" fontId="5" fillId="3" borderId="1" xfId="1" applyNumberFormat="1" applyFont="1" applyFill="1" applyBorder="1"/>
    <xf numFmtId="0" fontId="0" fillId="2" borderId="0" xfId="0" applyFill="1"/>
    <xf numFmtId="166" fontId="0" fillId="0" borderId="0" xfId="0" applyNumberFormat="1"/>
    <xf numFmtId="165" fontId="3" fillId="4" borderId="1" xfId="1" applyNumberFormat="1" applyFont="1" applyFill="1" applyBorder="1" applyAlignment="1">
      <alignment horizontal="right" vertical="center"/>
    </xf>
    <xf numFmtId="165" fontId="5" fillId="4" borderId="1" xfId="1" applyNumberFormat="1" applyFont="1" applyFill="1" applyBorder="1"/>
    <xf numFmtId="43" fontId="0" fillId="0" borderId="0" xfId="0" applyNumberFormat="1"/>
    <xf numFmtId="0" fontId="3" fillId="0" borderId="5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workbookViewId="0">
      <selection activeCell="C22" sqref="C22"/>
    </sheetView>
  </sheetViews>
  <sheetFormatPr defaultColWidth="8.85546875" defaultRowHeight="15" x14ac:dyDescent="0.25"/>
  <cols>
    <col min="1" max="1" width="38.140625" bestFit="1" customWidth="1"/>
    <col min="2" max="5" width="11.42578125" bestFit="1" customWidth="1"/>
  </cols>
  <sheetData>
    <row r="1" spans="1:12" x14ac:dyDescent="0.25">
      <c r="A1" s="3"/>
      <c r="B1" s="4" t="s">
        <v>0</v>
      </c>
      <c r="C1" s="4" t="s">
        <v>1</v>
      </c>
      <c r="D1" s="4" t="s">
        <v>2</v>
      </c>
      <c r="E1" s="4" t="s">
        <v>3</v>
      </c>
    </row>
    <row r="2" spans="1:12" x14ac:dyDescent="0.25">
      <c r="A2" s="5" t="s">
        <v>4</v>
      </c>
      <c r="B2" s="2"/>
      <c r="C2" s="2"/>
      <c r="D2" s="2"/>
      <c r="E2" s="2"/>
    </row>
    <row r="3" spans="1:12" x14ac:dyDescent="0.25">
      <c r="A3" s="5" t="s">
        <v>17</v>
      </c>
      <c r="B3" s="2"/>
      <c r="C3" s="2"/>
      <c r="D3" s="2"/>
      <c r="E3" s="2"/>
    </row>
    <row r="4" spans="1:12" x14ac:dyDescent="0.25">
      <c r="A4" s="1" t="s">
        <v>14</v>
      </c>
      <c r="B4" s="15">
        <v>13475.781000000001</v>
      </c>
      <c r="C4" s="15"/>
      <c r="D4" s="15"/>
      <c r="E4" s="15">
        <f>SUM(B4:D4)</f>
        <v>13475.781000000001</v>
      </c>
      <c r="F4" s="16" t="s">
        <v>47</v>
      </c>
      <c r="G4" s="16"/>
      <c r="H4" s="16"/>
      <c r="I4" s="16"/>
      <c r="J4" s="16"/>
      <c r="K4" s="16"/>
      <c r="L4" s="16"/>
    </row>
    <row r="5" spans="1:12" x14ac:dyDescent="0.25">
      <c r="A5" s="1" t="s">
        <v>24</v>
      </c>
      <c r="B5" s="9"/>
      <c r="C5" s="9">
        <v>13020</v>
      </c>
      <c r="D5" s="9"/>
      <c r="E5" s="9">
        <f>13020+SUM(B5:D5)</f>
        <v>26040</v>
      </c>
      <c r="F5" t="s">
        <v>34</v>
      </c>
    </row>
    <row r="6" spans="1:12" x14ac:dyDescent="0.25">
      <c r="A6" s="1" t="s">
        <v>15</v>
      </c>
      <c r="B6" s="9"/>
      <c r="C6" s="9"/>
      <c r="D6" s="9">
        <v>13296</v>
      </c>
      <c r="E6" s="9">
        <f>13020+SUM(B6:D6)</f>
        <v>26316</v>
      </c>
      <c r="F6" t="s">
        <v>44</v>
      </c>
    </row>
    <row r="7" spans="1:12" x14ac:dyDescent="0.25">
      <c r="A7" s="1" t="s">
        <v>23</v>
      </c>
      <c r="B7" s="9">
        <v>13005</v>
      </c>
      <c r="C7" s="9"/>
      <c r="D7" s="9"/>
      <c r="E7" s="9">
        <f>13005+SUM(B7:D7)</f>
        <v>26010</v>
      </c>
      <c r="F7" t="s">
        <v>37</v>
      </c>
    </row>
    <row r="8" spans="1:12" x14ac:dyDescent="0.25">
      <c r="A8" s="1" t="s">
        <v>16</v>
      </c>
      <c r="B8" s="9"/>
      <c r="C8" s="9">
        <f t="shared" ref="C8" si="0">(140000/9)*1.62</f>
        <v>25200</v>
      </c>
      <c r="D8" s="9"/>
      <c r="E8" s="9">
        <f t="shared" ref="E8:E20" si="1">SUM(B8:D8)</f>
        <v>25200</v>
      </c>
      <c r="F8" t="s">
        <v>33</v>
      </c>
    </row>
    <row r="9" spans="1:12" x14ac:dyDescent="0.25">
      <c r="A9" s="1" t="s">
        <v>45</v>
      </c>
      <c r="B9" s="9">
        <f>SUM(B4:B8)</f>
        <v>26480.781000000003</v>
      </c>
      <c r="C9" s="9">
        <f t="shared" ref="C9:E9" si="2">SUM(C4:C8)</f>
        <v>38220</v>
      </c>
      <c r="D9" s="9">
        <f t="shared" si="2"/>
        <v>13296</v>
      </c>
      <c r="E9" s="9">
        <f t="shared" si="2"/>
        <v>117041.781</v>
      </c>
    </row>
    <row r="10" spans="1:12" x14ac:dyDescent="0.25">
      <c r="A10" s="5" t="s">
        <v>5</v>
      </c>
      <c r="B10" s="10"/>
      <c r="C10" s="10"/>
      <c r="D10" s="10"/>
      <c r="E10" s="10"/>
      <c r="K10" s="14"/>
    </row>
    <row r="11" spans="1:12" x14ac:dyDescent="0.25">
      <c r="A11" s="1" t="s">
        <v>25</v>
      </c>
      <c r="B11" s="10"/>
      <c r="C11" s="10"/>
      <c r="D11" s="10"/>
      <c r="E11" s="10">
        <f>SUM(B11:D11)</f>
        <v>0</v>
      </c>
      <c r="F11" t="s">
        <v>36</v>
      </c>
      <c r="I11" s="16" t="s">
        <v>48</v>
      </c>
      <c r="J11" s="16"/>
      <c r="K11" s="16"/>
      <c r="L11" s="16"/>
    </row>
    <row r="12" spans="1:12" x14ac:dyDescent="0.25">
      <c r="A12" s="1" t="s">
        <v>18</v>
      </c>
      <c r="B12" s="10"/>
      <c r="C12" s="10"/>
      <c r="D12" s="10"/>
      <c r="E12" s="10">
        <f t="shared" ref="E12:E14" si="3">SUM(B12:D12)</f>
        <v>0</v>
      </c>
      <c r="F12" t="s">
        <v>42</v>
      </c>
    </row>
    <row r="13" spans="1:12" x14ac:dyDescent="0.25">
      <c r="A13" s="1" t="s">
        <v>30</v>
      </c>
      <c r="B13" s="10">
        <v>28002</v>
      </c>
      <c r="C13" s="10">
        <v>28002</v>
      </c>
      <c r="D13" s="10">
        <v>28002</v>
      </c>
      <c r="E13" s="10">
        <f t="shared" si="3"/>
        <v>84006</v>
      </c>
      <c r="F13" t="s">
        <v>40</v>
      </c>
    </row>
    <row r="14" spans="1:12" x14ac:dyDescent="0.25">
      <c r="A14" s="1" t="s">
        <v>31</v>
      </c>
      <c r="B14" s="10">
        <v>10000</v>
      </c>
      <c r="C14" s="10">
        <v>10000</v>
      </c>
      <c r="D14" s="10">
        <v>10000</v>
      </c>
      <c r="E14" s="10">
        <f t="shared" si="3"/>
        <v>30000</v>
      </c>
    </row>
    <row r="15" spans="1:12" x14ac:dyDescent="0.25">
      <c r="A15" s="1" t="s">
        <v>19</v>
      </c>
      <c r="B15" s="10"/>
      <c r="C15" s="10"/>
      <c r="D15" s="10"/>
      <c r="E15" s="9">
        <f t="shared" si="1"/>
        <v>0</v>
      </c>
      <c r="G15" s="14"/>
      <c r="H15" s="14"/>
      <c r="I15" s="14"/>
      <c r="J15" s="14"/>
      <c r="K15" s="14"/>
    </row>
    <row r="16" spans="1:12" x14ac:dyDescent="0.25">
      <c r="A16" s="1" t="s">
        <v>46</v>
      </c>
      <c r="B16" s="10">
        <f>SUM(B11:B15)</f>
        <v>38002</v>
      </c>
      <c r="C16" s="10">
        <f t="shared" ref="C16:E16" si="4">SUM(C11:C15)</f>
        <v>38002</v>
      </c>
      <c r="D16" s="10">
        <f t="shared" si="4"/>
        <v>38002</v>
      </c>
      <c r="E16" s="10">
        <f t="shared" si="4"/>
        <v>114006</v>
      </c>
      <c r="G16" s="14"/>
      <c r="H16" s="14"/>
      <c r="I16" s="14"/>
      <c r="J16" s="14"/>
      <c r="K16" s="14"/>
    </row>
    <row r="17" spans="1:11" x14ac:dyDescent="0.25">
      <c r="A17" s="5" t="s">
        <v>6</v>
      </c>
      <c r="B17" s="9"/>
      <c r="C17" s="9"/>
      <c r="D17" s="9"/>
      <c r="E17" s="9"/>
    </row>
    <row r="18" spans="1:11" x14ac:dyDescent="0.25">
      <c r="A18" s="1" t="s">
        <v>7</v>
      </c>
      <c r="B18" s="10">
        <f>2000*1*5</f>
        <v>10000</v>
      </c>
      <c r="C18" s="10">
        <f t="shared" ref="C18:D18" si="5">2000*1*5</f>
        <v>10000</v>
      </c>
      <c r="D18" s="10">
        <f t="shared" si="5"/>
        <v>10000</v>
      </c>
      <c r="E18" s="9">
        <f t="shared" si="1"/>
        <v>30000</v>
      </c>
      <c r="F18" t="s">
        <v>50</v>
      </c>
    </row>
    <row r="19" spans="1:11" x14ac:dyDescent="0.25">
      <c r="A19" s="5" t="s">
        <v>8</v>
      </c>
      <c r="B19" s="9"/>
      <c r="C19" s="9"/>
      <c r="D19" s="9"/>
      <c r="E19" s="9"/>
      <c r="F19" s="16" t="s">
        <v>51</v>
      </c>
      <c r="G19" s="16"/>
      <c r="H19" s="16"/>
      <c r="I19" s="16"/>
      <c r="J19" s="16"/>
    </row>
    <row r="20" spans="1:11" x14ac:dyDescent="0.25">
      <c r="A20" s="1" t="s">
        <v>9</v>
      </c>
      <c r="B20" s="11"/>
      <c r="C20" s="11">
        <f>6000*3*2</f>
        <v>36000</v>
      </c>
      <c r="D20" s="11"/>
      <c r="E20" s="12">
        <f t="shared" si="1"/>
        <v>36000</v>
      </c>
      <c r="F20" t="s">
        <v>32</v>
      </c>
    </row>
    <row r="21" spans="1:11" x14ac:dyDescent="0.25">
      <c r="A21" s="5" t="s">
        <v>10</v>
      </c>
      <c r="B21" s="9"/>
      <c r="C21" s="9"/>
      <c r="D21" s="9"/>
      <c r="E21" s="9"/>
      <c r="F21" s="16" t="s">
        <v>49</v>
      </c>
      <c r="G21" s="16"/>
      <c r="H21" s="16"/>
      <c r="I21" s="16"/>
      <c r="J21" s="16"/>
      <c r="K21" s="16"/>
    </row>
    <row r="22" spans="1:11" x14ac:dyDescent="0.25">
      <c r="A22" s="1" t="s">
        <v>11</v>
      </c>
      <c r="B22" s="13"/>
      <c r="C22" s="13">
        <f>110800*1.5</f>
        <v>166200</v>
      </c>
      <c r="D22" s="13">
        <f>110800*1.5</f>
        <v>166200</v>
      </c>
      <c r="E22" s="13">
        <f>SUM(B22:D22)</f>
        <v>332400</v>
      </c>
      <c r="F22" t="s">
        <v>29</v>
      </c>
    </row>
    <row r="23" spans="1:11" x14ac:dyDescent="0.25">
      <c r="A23" s="7" t="s">
        <v>20</v>
      </c>
      <c r="B23" s="9"/>
      <c r="C23" s="9"/>
      <c r="D23" s="9"/>
      <c r="E23" s="9"/>
    </row>
    <row r="24" spans="1:11" x14ac:dyDescent="0.25">
      <c r="A24" s="1" t="s">
        <v>21</v>
      </c>
      <c r="B24" s="9">
        <f>(SUM(B4,B15)+B18*0.25)*0.405</f>
        <v>6470.1913050000012</v>
      </c>
      <c r="C24" s="9">
        <f>(SUM(C4,C15)+C18*0.25)*0.405</f>
        <v>1012.5000000000001</v>
      </c>
      <c r="D24" s="9">
        <f>(SUM(D4,D15)+D18*0.25)*0.405</f>
        <v>1012.5000000000001</v>
      </c>
      <c r="E24" s="9">
        <f>(SUM(E4,E15)+E18*0.25)*0.405</f>
        <v>8495.1913050000021</v>
      </c>
      <c r="F24" t="s">
        <v>41</v>
      </c>
    </row>
    <row r="25" spans="1:11" x14ac:dyDescent="0.25">
      <c r="A25" s="6" t="s">
        <v>38</v>
      </c>
      <c r="B25" s="9">
        <v>25269</v>
      </c>
      <c r="C25" s="9">
        <v>25269</v>
      </c>
      <c r="D25" s="9">
        <v>25269</v>
      </c>
      <c r="E25" s="9">
        <f>SUM(B25:D25)</f>
        <v>75807</v>
      </c>
      <c r="F25" t="s">
        <v>39</v>
      </c>
    </row>
    <row r="26" spans="1:11" x14ac:dyDescent="0.25">
      <c r="A26" s="6" t="s">
        <v>26</v>
      </c>
      <c r="B26" s="9">
        <f>(B8+B11)*0.6</f>
        <v>0</v>
      </c>
      <c r="C26" s="9">
        <f>(C8+C11)*0.6</f>
        <v>15120</v>
      </c>
      <c r="D26" s="9">
        <f>(D8+D11)*0.6</f>
        <v>0</v>
      </c>
      <c r="E26" s="9">
        <f>SUM(B26:D26)</f>
        <v>15120</v>
      </c>
      <c r="F26" t="s">
        <v>28</v>
      </c>
    </row>
    <row r="27" spans="1:11" x14ac:dyDescent="0.25">
      <c r="A27" s="6" t="s">
        <v>27</v>
      </c>
      <c r="B27" s="9">
        <f>(B5+B14+B22+B18+B20)*0.13</f>
        <v>2600</v>
      </c>
      <c r="C27" s="9">
        <f>(C5+C14+C22+C18+C20)*0.13</f>
        <v>30578.600000000002</v>
      </c>
      <c r="D27" s="9">
        <f>(D5+D14+D22+D18+D20)*0.13</f>
        <v>24206</v>
      </c>
      <c r="E27" s="9">
        <f>SUM(B27:D27)</f>
        <v>57384.600000000006</v>
      </c>
      <c r="F27" t="s">
        <v>35</v>
      </c>
    </row>
    <row r="28" spans="1:11" x14ac:dyDescent="0.25">
      <c r="A28" s="1" t="s">
        <v>22</v>
      </c>
      <c r="B28" s="9">
        <f>SUM(B6, B12,2000)*0.52</f>
        <v>1040</v>
      </c>
      <c r="C28" s="9">
        <f>SUM(C6, C12)*0.52</f>
        <v>0</v>
      </c>
      <c r="D28" s="9">
        <f>SUM(D6, D12)*0.52</f>
        <v>6913.92</v>
      </c>
      <c r="E28" s="9">
        <f>SUM(E6, E12)*0.52</f>
        <v>13684.32</v>
      </c>
      <c r="F28" t="s">
        <v>43</v>
      </c>
      <c r="G28" s="14"/>
      <c r="H28" s="14"/>
      <c r="I28" s="14"/>
      <c r="J28" s="14"/>
    </row>
    <row r="29" spans="1:11" x14ac:dyDescent="0.25">
      <c r="A29" s="1" t="s">
        <v>12</v>
      </c>
      <c r="B29" s="9">
        <f>SUM(B24:B28)</f>
        <v>35379.191305</v>
      </c>
      <c r="C29" s="9">
        <f t="shared" ref="C29:E29" si="6">SUM(C24:C28)</f>
        <v>71980.100000000006</v>
      </c>
      <c r="D29" s="9">
        <f t="shared" si="6"/>
        <v>57401.42</v>
      </c>
      <c r="E29" s="9">
        <f t="shared" si="6"/>
        <v>170491.11130500003</v>
      </c>
      <c r="G29" s="14"/>
      <c r="H29" s="14"/>
      <c r="I29" s="14"/>
      <c r="J29" s="14"/>
    </row>
    <row r="30" spans="1:11" x14ac:dyDescent="0.25">
      <c r="A30" s="8" t="s">
        <v>12</v>
      </c>
      <c r="B30" s="9">
        <f>SUM(B9+B16+B18+B20+B29)</f>
        <v>109861.972305</v>
      </c>
      <c r="C30" s="9">
        <f>SUM(C9+C16+C18+C20+C29)</f>
        <v>194202.1</v>
      </c>
      <c r="D30" s="9">
        <f>SUM(D9+D16+D18+D20+D29)</f>
        <v>118699.42</v>
      </c>
      <c r="E30" s="9">
        <f>SUM(E9+E16+E18+E20+E29)</f>
        <v>467538.89230500004</v>
      </c>
    </row>
    <row r="33" spans="1:1" x14ac:dyDescent="0.25">
      <c r="A33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C3773-7176-4C60-B6ED-CC4CD76FF079}">
  <dimension ref="A1:M32"/>
  <sheetViews>
    <sheetView tabSelected="1" workbookViewId="0">
      <selection activeCell="C28" sqref="C28"/>
    </sheetView>
  </sheetViews>
  <sheetFormatPr defaultColWidth="8.85546875" defaultRowHeight="15" x14ac:dyDescent="0.25"/>
  <cols>
    <col min="1" max="1" width="36.28515625" bestFit="1" customWidth="1"/>
    <col min="2" max="2" width="38.42578125" customWidth="1"/>
    <col min="3" max="3" width="40.7109375" customWidth="1"/>
    <col min="12" max="13" width="10.140625" bestFit="1" customWidth="1"/>
  </cols>
  <sheetData>
    <row r="1" spans="1:13" x14ac:dyDescent="0.25">
      <c r="A1" s="3"/>
      <c r="B1" s="4" t="s">
        <v>0</v>
      </c>
    </row>
    <row r="2" spans="1:13" x14ac:dyDescent="0.25">
      <c r="A2" s="5" t="s">
        <v>4</v>
      </c>
      <c r="B2" s="2"/>
    </row>
    <row r="3" spans="1:13" x14ac:dyDescent="0.25">
      <c r="A3" s="5" t="s">
        <v>17</v>
      </c>
      <c r="B3" s="2"/>
      <c r="C3" s="16" t="s">
        <v>52</v>
      </c>
      <c r="L3" t="s">
        <v>58</v>
      </c>
      <c r="M3" t="s">
        <v>59</v>
      </c>
    </row>
    <row r="4" spans="1:13" x14ac:dyDescent="0.25">
      <c r="A4" s="1" t="s">
        <v>14</v>
      </c>
      <c r="B4" s="19">
        <f>21253+7417</f>
        <v>28670</v>
      </c>
      <c r="L4" s="20">
        <f>B4/1.36</f>
        <v>21080.882352941175</v>
      </c>
      <c r="M4" s="20">
        <f>B4-L4</f>
        <v>7589.1176470588252</v>
      </c>
    </row>
    <row r="5" spans="1:13" x14ac:dyDescent="0.25">
      <c r="A5" s="1" t="s">
        <v>24</v>
      </c>
      <c r="B5" s="9">
        <f>(102500/9)*1.238*2</f>
        <v>28198.888888888887</v>
      </c>
      <c r="C5" t="s">
        <v>64</v>
      </c>
      <c r="D5" t="s">
        <v>57</v>
      </c>
      <c r="L5" s="20">
        <f>B5/1.238</f>
        <v>22777.777777777777</v>
      </c>
      <c r="M5" s="20">
        <f>B5-L5</f>
        <v>5421.1111111111095</v>
      </c>
    </row>
    <row r="6" spans="1:13" x14ac:dyDescent="0.25">
      <c r="A6" s="1" t="s">
        <v>15</v>
      </c>
      <c r="B6" s="19">
        <f>((107163.8/9)*1.02)*2*1.328</f>
        <v>32257.732650666672</v>
      </c>
      <c r="C6" t="s">
        <v>65</v>
      </c>
      <c r="L6" s="20">
        <f>B6/1.32</f>
        <v>24437.676250505054</v>
      </c>
      <c r="M6" s="20">
        <f>B6-L6</f>
        <v>7820.0564001616185</v>
      </c>
    </row>
    <row r="7" spans="1:13" x14ac:dyDescent="0.25">
      <c r="A7" s="1" t="s">
        <v>23</v>
      </c>
      <c r="B7" s="12">
        <v>27300</v>
      </c>
      <c r="C7" t="s">
        <v>37</v>
      </c>
      <c r="D7" t="s">
        <v>68</v>
      </c>
      <c r="L7" s="20">
        <f>B7/1.27</f>
        <v>21496.062992125982</v>
      </c>
      <c r="M7" s="20">
        <f>B7-L7</f>
        <v>5803.9370078740176</v>
      </c>
    </row>
    <row r="8" spans="1:13" x14ac:dyDescent="0.25">
      <c r="A8" s="1" t="s">
        <v>16</v>
      </c>
      <c r="B8" s="9">
        <f>(149200/9)*1.62*2</f>
        <v>53712</v>
      </c>
      <c r="C8" t="s">
        <v>33</v>
      </c>
      <c r="L8" s="20">
        <f>B8/1.62</f>
        <v>33155.555555555555</v>
      </c>
      <c r="M8" s="20">
        <f>B8-L8</f>
        <v>20556.444444444445</v>
      </c>
    </row>
    <row r="9" spans="1:13" x14ac:dyDescent="0.25">
      <c r="A9" s="1" t="s">
        <v>45</v>
      </c>
      <c r="B9" s="9"/>
    </row>
    <row r="10" spans="1:13" x14ac:dyDescent="0.25">
      <c r="A10" s="5" t="s">
        <v>5</v>
      </c>
      <c r="B10" s="10"/>
    </row>
    <row r="11" spans="1:13" x14ac:dyDescent="0.25">
      <c r="A11" s="1" t="s">
        <v>25</v>
      </c>
      <c r="B11" s="10"/>
      <c r="C11" t="s">
        <v>36</v>
      </c>
    </row>
    <row r="12" spans="1:13" x14ac:dyDescent="0.25">
      <c r="A12" s="1" t="s">
        <v>18</v>
      </c>
      <c r="B12" s="10"/>
      <c r="C12" t="s">
        <v>66</v>
      </c>
    </row>
    <row r="13" spans="1:13" x14ac:dyDescent="0.25">
      <c r="A13" s="1" t="s">
        <v>30</v>
      </c>
      <c r="B13" s="18">
        <v>28002</v>
      </c>
      <c r="C13" t="s">
        <v>40</v>
      </c>
    </row>
    <row r="14" spans="1:13" x14ac:dyDescent="0.25">
      <c r="A14" s="1" t="s">
        <v>55</v>
      </c>
      <c r="B14" s="10"/>
      <c r="C14" t="s">
        <v>56</v>
      </c>
    </row>
    <row r="15" spans="1:13" x14ac:dyDescent="0.25">
      <c r="A15" s="1" t="s">
        <v>19</v>
      </c>
      <c r="B15" s="10"/>
    </row>
    <row r="16" spans="1:13" x14ac:dyDescent="0.25">
      <c r="A16" s="1" t="s">
        <v>46</v>
      </c>
      <c r="B16" s="10"/>
    </row>
    <row r="17" spans="1:4" x14ac:dyDescent="0.25">
      <c r="A17" s="5" t="s">
        <v>6</v>
      </c>
      <c r="B17" s="9"/>
    </row>
    <row r="18" spans="1:4" x14ac:dyDescent="0.25">
      <c r="A18" s="1" t="s">
        <v>7</v>
      </c>
      <c r="B18" s="10">
        <v>8000</v>
      </c>
      <c r="C18" t="s">
        <v>60</v>
      </c>
    </row>
    <row r="19" spans="1:4" x14ac:dyDescent="0.25">
      <c r="A19" s="5" t="s">
        <v>8</v>
      </c>
      <c r="B19" s="9"/>
      <c r="C19" s="16" t="s">
        <v>51</v>
      </c>
    </row>
    <row r="20" spans="1:4" x14ac:dyDescent="0.25">
      <c r="A20" s="1" t="s">
        <v>9</v>
      </c>
      <c r="B20" s="18">
        <v>34400</v>
      </c>
      <c r="C20" s="16" t="s">
        <v>62</v>
      </c>
      <c r="D20" t="s">
        <v>61</v>
      </c>
    </row>
    <row r="21" spans="1:4" x14ac:dyDescent="0.25">
      <c r="A21" s="5" t="s">
        <v>10</v>
      </c>
      <c r="B21" s="9"/>
      <c r="D21" t="s">
        <v>69</v>
      </c>
    </row>
    <row r="22" spans="1:4" x14ac:dyDescent="0.25">
      <c r="A22" s="1" t="s">
        <v>11</v>
      </c>
      <c r="B22" s="13">
        <f>40000*2</f>
        <v>80000</v>
      </c>
      <c r="C22" t="s">
        <v>53</v>
      </c>
    </row>
    <row r="23" spans="1:4" x14ac:dyDescent="0.25">
      <c r="A23" s="7" t="s">
        <v>70</v>
      </c>
      <c r="B23" s="13"/>
    </row>
    <row r="24" spans="1:4" x14ac:dyDescent="0.25">
      <c r="A24" s="21" t="s">
        <v>67</v>
      </c>
      <c r="B24" s="13">
        <v>5100</v>
      </c>
    </row>
    <row r="25" spans="1:4" x14ac:dyDescent="0.25">
      <c r="A25" s="7" t="s">
        <v>63</v>
      </c>
      <c r="B25" s="13">
        <f>SUM(B4:B24)</f>
        <v>325640.62153955555</v>
      </c>
    </row>
    <row r="26" spans="1:4" x14ac:dyDescent="0.25">
      <c r="A26" s="7" t="s">
        <v>20</v>
      </c>
      <c r="B26" s="9"/>
    </row>
    <row r="27" spans="1:4" x14ac:dyDescent="0.25">
      <c r="A27" s="1" t="s">
        <v>21</v>
      </c>
      <c r="B27" s="9">
        <v>15256</v>
      </c>
      <c r="C27" t="s">
        <v>71</v>
      </c>
    </row>
    <row r="28" spans="1:4" x14ac:dyDescent="0.25">
      <c r="A28" s="6" t="s">
        <v>38</v>
      </c>
      <c r="B28" s="17">
        <f>(B7)*0.625</f>
        <v>17062.5</v>
      </c>
      <c r="C28" t="s">
        <v>39</v>
      </c>
    </row>
    <row r="29" spans="1:4" x14ac:dyDescent="0.25">
      <c r="A29" s="6" t="s">
        <v>26</v>
      </c>
      <c r="B29" s="9">
        <f>(B8)*0.6</f>
        <v>32227.199999999997</v>
      </c>
      <c r="C29" t="s">
        <v>28</v>
      </c>
    </row>
    <row r="30" spans="1:4" x14ac:dyDescent="0.25">
      <c r="A30" s="6" t="s">
        <v>27</v>
      </c>
      <c r="B30" s="9">
        <f>(SUM(B5,B22,B18,B20)*0.505)</f>
        <v>76052.438888888879</v>
      </c>
      <c r="C30" t="s">
        <v>54</v>
      </c>
    </row>
    <row r="31" spans="1:4" x14ac:dyDescent="0.25">
      <c r="A31" s="1" t="s">
        <v>22</v>
      </c>
      <c r="B31" s="9">
        <f>(B6+B24)*0.52</f>
        <v>19426.020978346671</v>
      </c>
      <c r="C31" t="s">
        <v>43</v>
      </c>
    </row>
    <row r="32" spans="1:4" x14ac:dyDescent="0.25">
      <c r="A32" s="8" t="s">
        <v>12</v>
      </c>
      <c r="B32" s="9">
        <f>SUM(B25:B31)</f>
        <v>485664.78140679107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Kansas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Martinez Machain</dc:creator>
  <cp:lastModifiedBy>Michael Allen</cp:lastModifiedBy>
  <dcterms:created xsi:type="dcterms:W3CDTF">2021-05-12T02:28:28Z</dcterms:created>
  <dcterms:modified xsi:type="dcterms:W3CDTF">2023-12-10T17:48:51Z</dcterms:modified>
</cp:coreProperties>
</file>