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Fabio Araujo\Downloads\"/>
    </mc:Choice>
  </mc:AlternateContent>
  <xr:revisionPtr revIDLastSave="2" documentId="13_ncr:1_{38A3124C-7F10-4CD0-B057-8F71B166C848}" xr6:coauthVersionLast="47" xr6:coauthVersionMax="47" xr10:uidLastSave="{57D346F1-5A55-4DA4-896B-8AE5DC976E08}"/>
  <bookViews>
    <workbookView xWindow="7650" yWindow="480" windowWidth="22110" windowHeight="15165" firstSheet="2" activeTab="11" xr2:uid="{00000000-000D-0000-FFFF-FFFF00000000}"/>
  </bookViews>
  <sheets>
    <sheet name="Demanda por Região" sheetId="2" r:id="rId1"/>
    <sheet name="Logistica" sheetId="3" r:id="rId2"/>
    <sheet name="Demanda Regiões_Logistica" sheetId="11" r:id="rId3"/>
    <sheet name="Comercial" sheetId="4" r:id="rId4"/>
    <sheet name="Comercial Ajustado" sheetId="12" r:id="rId5"/>
    <sheet name="Infraestrutura" sheetId="5" r:id="rId6"/>
    <sheet name="Infraestrutura Ajustado" sheetId="13" r:id="rId7"/>
    <sheet name="Investimento Inicial" sheetId="8" r:id="rId8"/>
    <sheet name="Investimento Ajustado" sheetId="14" r:id="rId9"/>
    <sheet name="Investimento Restante" sheetId="7" r:id="rId10"/>
    <sheet name="Receita" sheetId="9" r:id="rId11"/>
    <sheet name="Planejamento de vendas anual" sheetId="10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4" l="1"/>
  <c r="P4" i="14"/>
  <c r="P2" i="14"/>
  <c r="U3" i="13"/>
  <c r="U4" i="13"/>
  <c r="U2" i="13"/>
  <c r="T3" i="13"/>
  <c r="T4" i="13"/>
  <c r="T2" i="13"/>
  <c r="S3" i="13"/>
  <c r="S4" i="13"/>
  <c r="S2" i="13"/>
  <c r="O3" i="13"/>
  <c r="O4" i="13"/>
  <c r="O2" i="13"/>
  <c r="N3" i="13"/>
  <c r="N4" i="13"/>
  <c r="N2" i="13"/>
  <c r="D20" i="5"/>
  <c r="C20" i="5"/>
  <c r="C26" i="5"/>
  <c r="E12" i="5"/>
  <c r="C12" i="5"/>
  <c r="F12" i="5"/>
  <c r="J3" i="13"/>
  <c r="J4" i="13"/>
  <c r="J2" i="13"/>
  <c r="I3" i="13"/>
  <c r="I4" i="13"/>
  <c r="I2" i="13"/>
  <c r="H3" i="13"/>
  <c r="H4" i="13"/>
  <c r="H2" i="13"/>
  <c r="R3" i="12"/>
  <c r="R4" i="12"/>
  <c r="R2" i="12"/>
  <c r="Q3" i="12"/>
  <c r="Q4" i="12"/>
  <c r="Q2" i="12"/>
  <c r="P3" i="12"/>
  <c r="P4" i="12"/>
  <c r="P2" i="12"/>
  <c r="C20" i="4"/>
  <c r="N3" i="12"/>
  <c r="N4" i="12"/>
  <c r="N2" i="12"/>
  <c r="D11" i="4"/>
  <c r="L3" i="12"/>
  <c r="M3" i="12" s="1"/>
  <c r="L4" i="12"/>
  <c r="O4" i="12" s="1"/>
  <c r="L2" i="12"/>
  <c r="M2" i="12" s="1"/>
  <c r="C11" i="4"/>
  <c r="H3" i="12"/>
  <c r="H4" i="12"/>
  <c r="H2" i="12"/>
  <c r="C19" i="4"/>
  <c r="F23" i="3"/>
  <c r="D24" i="3"/>
  <c r="D23" i="3"/>
  <c r="R17" i="3"/>
  <c r="K17" i="3"/>
  <c r="D17" i="3"/>
  <c r="R18" i="3"/>
  <c r="K18" i="3"/>
  <c r="D18" i="3"/>
  <c r="F18" i="3" s="1"/>
  <c r="V3" i="11"/>
  <c r="W3" i="11" s="1"/>
  <c r="V4" i="11"/>
  <c r="W4" i="11" s="1"/>
  <c r="V2" i="11"/>
  <c r="X2" i="11" s="1"/>
  <c r="C9" i="3"/>
  <c r="F9" i="3"/>
  <c r="H17" i="3"/>
  <c r="D9" i="3"/>
  <c r="E9" i="3"/>
  <c r="G9" i="3"/>
  <c r="P3" i="11"/>
  <c r="Q3" i="11" s="1"/>
  <c r="P4" i="11"/>
  <c r="Q4" i="11" s="1"/>
  <c r="P2" i="11"/>
  <c r="Q2" i="11" s="1"/>
  <c r="L4" i="11"/>
  <c r="L3" i="11"/>
  <c r="D27" i="2"/>
  <c r="L2" i="11"/>
  <c r="H3" i="11"/>
  <c r="H4" i="11"/>
  <c r="H2" i="11"/>
  <c r="AI21" i="10"/>
  <c r="AI22" i="10" s="1"/>
  <c r="AE21" i="10"/>
  <c r="AE22" i="10" s="1"/>
  <c r="AA21" i="10"/>
  <c r="AA22" i="10" s="1"/>
  <c r="W21" i="10"/>
  <c r="W22" i="10" s="1"/>
  <c r="S21" i="10"/>
  <c r="S22" i="10" s="1"/>
  <c r="O21" i="10"/>
  <c r="O22" i="10" s="1"/>
  <c r="K21" i="10"/>
  <c r="K22" i="10"/>
  <c r="G21" i="10"/>
  <c r="G22" i="10" s="1"/>
  <c r="C21" i="10"/>
  <c r="C22" i="10"/>
  <c r="D8" i="10" s="1"/>
  <c r="O3" i="12" l="1"/>
  <c r="M4" i="12"/>
  <c r="O2" i="12"/>
  <c r="AE2" i="11"/>
  <c r="AE4" i="11"/>
  <c r="AE3" i="11"/>
  <c r="AC2" i="11"/>
  <c r="AC3" i="11"/>
  <c r="AD2" i="11"/>
  <c r="AD4" i="11"/>
  <c r="AC4" i="11"/>
  <c r="AD3" i="11"/>
  <c r="W2" i="11"/>
  <c r="X3" i="11"/>
  <c r="X4" i="11"/>
  <c r="L8" i="10"/>
  <c r="L10" i="10"/>
  <c r="L11" i="10"/>
  <c r="L12" i="10"/>
  <c r="L13" i="10"/>
  <c r="L14" i="10"/>
  <c r="L15" i="10"/>
  <c r="L16" i="10"/>
  <c r="L17" i="10"/>
  <c r="L18" i="10"/>
  <c r="L19" i="10"/>
  <c r="P9" i="10"/>
  <c r="P10" i="10"/>
  <c r="P11" i="10"/>
  <c r="P12" i="10"/>
  <c r="P13" i="10"/>
  <c r="P14" i="10"/>
  <c r="P15" i="10"/>
  <c r="P16" i="10"/>
  <c r="P17" i="10"/>
  <c r="P18" i="10"/>
  <c r="P19" i="10"/>
  <c r="P8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X9" i="10"/>
  <c r="X10" i="10"/>
  <c r="X11" i="10"/>
  <c r="X12" i="10"/>
  <c r="X13" i="10"/>
  <c r="X14" i="10"/>
  <c r="X15" i="10"/>
  <c r="X16" i="10"/>
  <c r="X17" i="10"/>
  <c r="X18" i="10"/>
  <c r="X19" i="10"/>
  <c r="X8" i="10"/>
  <c r="AB9" i="10"/>
  <c r="AB10" i="10"/>
  <c r="AB11" i="10"/>
  <c r="AB12" i="10"/>
  <c r="AB13" i="10"/>
  <c r="AB14" i="10"/>
  <c r="AB15" i="10"/>
  <c r="AB16" i="10"/>
  <c r="AB17" i="10"/>
  <c r="AB18" i="10"/>
  <c r="AB19" i="10"/>
  <c r="AB8" i="10"/>
  <c r="AF9" i="10"/>
  <c r="AF10" i="10"/>
  <c r="AF11" i="10"/>
  <c r="AF12" i="10"/>
  <c r="AF13" i="10"/>
  <c r="AF14" i="10"/>
  <c r="AF15" i="10"/>
  <c r="AF16" i="10"/>
  <c r="AF17" i="10"/>
  <c r="AF18" i="10"/>
  <c r="AF19" i="10"/>
  <c r="AF8" i="10"/>
  <c r="AJ9" i="10"/>
  <c r="AJ10" i="10"/>
  <c r="AJ11" i="10"/>
  <c r="AJ12" i="10"/>
  <c r="AJ13" i="10"/>
  <c r="AJ14" i="10"/>
  <c r="AJ15" i="10"/>
  <c r="AJ16" i="10"/>
  <c r="AJ17" i="10"/>
  <c r="AJ18" i="10"/>
  <c r="AJ19" i="10"/>
  <c r="AJ8" i="10"/>
  <c r="H19" i="10"/>
  <c r="H8" i="10"/>
  <c r="H9" i="10"/>
  <c r="H10" i="10"/>
  <c r="H11" i="10"/>
  <c r="H12" i="10"/>
  <c r="H13" i="10"/>
  <c r="H14" i="10"/>
  <c r="H15" i="10"/>
  <c r="H16" i="10"/>
  <c r="H17" i="10"/>
  <c r="H18" i="10"/>
  <c r="D12" i="10"/>
  <c r="L9" i="10"/>
  <c r="D19" i="10"/>
  <c r="D13" i="10"/>
  <c r="D18" i="10"/>
  <c r="D17" i="10"/>
  <c r="D16" i="10"/>
  <c r="D15" i="10"/>
  <c r="D14" i="10"/>
  <c r="D11" i="10"/>
  <c r="D10" i="10"/>
  <c r="D9" i="10"/>
  <c r="M16" i="9" l="1"/>
  <c r="L16" i="9"/>
  <c r="K16" i="9"/>
  <c r="K20" i="9" l="1"/>
  <c r="K19" i="9"/>
  <c r="K18" i="9"/>
  <c r="K17" i="9"/>
  <c r="L20" i="9"/>
  <c r="L19" i="9"/>
  <c r="L18" i="9"/>
  <c r="L17" i="9"/>
  <c r="M20" i="9"/>
  <c r="M19" i="9"/>
  <c r="M18" i="9"/>
  <c r="M17" i="9"/>
  <c r="J8" i="7"/>
  <c r="C40" i="7"/>
  <c r="C25" i="7"/>
  <c r="D25" i="7" s="1"/>
  <c r="C8" i="7"/>
  <c r="O14" i="5"/>
  <c r="I14" i="5"/>
  <c r="C14" i="5"/>
  <c r="F11" i="5" s="1"/>
  <c r="C11" i="5" s="1"/>
  <c r="E19" i="5" s="1"/>
  <c r="C19" i="5" s="1"/>
  <c r="E25" i="5" s="1"/>
  <c r="C13" i="4"/>
  <c r="J13" i="4"/>
  <c r="Q13" i="4"/>
  <c r="U10" i="4"/>
  <c r="N10" i="4"/>
  <c r="G10" i="4"/>
  <c r="Q11" i="3"/>
  <c r="J11" i="3"/>
  <c r="C11" i="3"/>
  <c r="C12" i="3" s="1"/>
  <c r="U8" i="3"/>
  <c r="N8" i="3"/>
  <c r="J8" i="3" s="1"/>
  <c r="G8" i="3"/>
  <c r="M8" i="2"/>
  <c r="H8" i="2"/>
  <c r="C8" i="2"/>
  <c r="F38" i="9"/>
  <c r="F30" i="9"/>
  <c r="C21" i="9"/>
  <c r="D20" i="9"/>
  <c r="D19" i="9"/>
  <c r="D18" i="9"/>
  <c r="D17" i="9"/>
  <c r="G13" i="9"/>
  <c r="E13" i="9"/>
  <c r="G12" i="9"/>
  <c r="E12" i="9"/>
  <c r="G11" i="9"/>
  <c r="E11" i="9"/>
  <c r="G10" i="9"/>
  <c r="E10" i="9"/>
  <c r="P8" i="7"/>
  <c r="D8" i="7"/>
  <c r="I8" i="7"/>
  <c r="I9" i="7" s="1"/>
  <c r="O8" i="7"/>
  <c r="O9" i="7" s="1"/>
  <c r="Q61" i="7"/>
  <c r="Q62" i="7" s="1"/>
  <c r="P61" i="7"/>
  <c r="P62" i="7" s="1"/>
  <c r="O61" i="7"/>
  <c r="O62" i="7" s="1"/>
  <c r="K61" i="7"/>
  <c r="K62" i="7" s="1"/>
  <c r="J61" i="7"/>
  <c r="J62" i="7" s="1"/>
  <c r="I61" i="7"/>
  <c r="I62" i="7" s="1"/>
  <c r="E62" i="7"/>
  <c r="D62" i="7"/>
  <c r="C62" i="7"/>
  <c r="E61" i="7"/>
  <c r="D61" i="7"/>
  <c r="C61" i="7"/>
  <c r="Q54" i="7"/>
  <c r="Q55" i="7" s="1"/>
  <c r="P54" i="7"/>
  <c r="P55" i="7" s="1"/>
  <c r="O54" i="7"/>
  <c r="O55" i="7" s="1"/>
  <c r="K54" i="7"/>
  <c r="K55" i="7" s="1"/>
  <c r="J54" i="7"/>
  <c r="J55" i="7" s="1"/>
  <c r="I54" i="7"/>
  <c r="I55" i="7" s="1"/>
  <c r="E54" i="7"/>
  <c r="E55" i="7" s="1"/>
  <c r="D54" i="7"/>
  <c r="D55" i="7" s="1"/>
  <c r="C54" i="7"/>
  <c r="C55" i="7" s="1"/>
  <c r="Q48" i="7"/>
  <c r="P48" i="7"/>
  <c r="O48" i="7"/>
  <c r="K48" i="7"/>
  <c r="J48" i="7"/>
  <c r="I48" i="7"/>
  <c r="Q47" i="7"/>
  <c r="P47" i="7"/>
  <c r="O47" i="7"/>
  <c r="K47" i="7"/>
  <c r="J47" i="7"/>
  <c r="I47" i="7"/>
  <c r="E48" i="7"/>
  <c r="D48" i="7"/>
  <c r="C48" i="7"/>
  <c r="C47" i="7"/>
  <c r="E47" i="7"/>
  <c r="D47" i="7"/>
  <c r="O40" i="7"/>
  <c r="I40" i="7"/>
  <c r="O25" i="7"/>
  <c r="U9" i="4"/>
  <c r="G9" i="4"/>
  <c r="C33" i="7"/>
  <c r="O33" i="7"/>
  <c r="I33" i="7"/>
  <c r="M13" i="4"/>
  <c r="C9" i="2" l="1"/>
  <c r="D13" i="2"/>
  <c r="C8" i="3"/>
  <c r="M8" i="3"/>
  <c r="K8" i="3"/>
  <c r="L8" i="3" s="1"/>
  <c r="Q8" i="3"/>
  <c r="U9" i="3"/>
  <c r="Q9" i="3" s="1"/>
  <c r="E10" i="4"/>
  <c r="C10" i="4"/>
  <c r="N11" i="4"/>
  <c r="L10" i="4"/>
  <c r="J10" i="4"/>
  <c r="M10" i="4" s="1"/>
  <c r="S10" i="4"/>
  <c r="Q10" i="4"/>
  <c r="T10" i="4" s="1"/>
  <c r="C9" i="7"/>
  <c r="R10" i="4"/>
  <c r="K10" i="4"/>
  <c r="N9" i="3"/>
  <c r="J9" i="3" s="1"/>
  <c r="F11" i="3"/>
  <c r="G11" i="4"/>
  <c r="U11" i="4"/>
  <c r="M11" i="3"/>
  <c r="Q12" i="3"/>
  <c r="T13" i="4"/>
  <c r="G34" i="9"/>
  <c r="K32" i="9"/>
  <c r="K24" i="9"/>
  <c r="L32" i="9"/>
  <c r="L24" i="9"/>
  <c r="M32" i="9"/>
  <c r="M24" i="9"/>
  <c r="G14" i="9"/>
  <c r="J11" i="9" s="1"/>
  <c r="E14" i="9"/>
  <c r="K11" i="9" s="1"/>
  <c r="L11" i="9" s="1"/>
  <c r="D21" i="9"/>
  <c r="J12" i="3"/>
  <c r="C41" i="7"/>
  <c r="E41" i="7" s="1"/>
  <c r="F8" i="7" s="1"/>
  <c r="E40" i="7"/>
  <c r="D40" i="7"/>
  <c r="O41" i="7"/>
  <c r="Q41" i="7" s="1"/>
  <c r="R8" i="7" s="1"/>
  <c r="Q40" i="7"/>
  <c r="P40" i="7"/>
  <c r="E19" i="7"/>
  <c r="E18" i="7"/>
  <c r="E17" i="7"/>
  <c r="E16" i="7"/>
  <c r="E15" i="7"/>
  <c r="E14" i="7"/>
  <c r="Q19" i="7"/>
  <c r="Q18" i="7"/>
  <c r="Q17" i="7"/>
  <c r="Q16" i="7"/>
  <c r="Q15" i="7"/>
  <c r="Q14" i="7"/>
  <c r="I41" i="7"/>
  <c r="K41" i="7" s="1"/>
  <c r="L8" i="7" s="1"/>
  <c r="J40" i="7"/>
  <c r="K15" i="7"/>
  <c r="K16" i="7"/>
  <c r="K17" i="7"/>
  <c r="K18" i="7"/>
  <c r="K19" i="7"/>
  <c r="K14" i="7"/>
  <c r="C34" i="7"/>
  <c r="D34" i="7" s="1"/>
  <c r="D33" i="7"/>
  <c r="O34" i="7"/>
  <c r="P34" i="7" s="1"/>
  <c r="P33" i="7"/>
  <c r="I34" i="7"/>
  <c r="J34" i="7" s="1"/>
  <c r="J33" i="7"/>
  <c r="L11" i="5"/>
  <c r="K37" i="5" s="1"/>
  <c r="C26" i="7"/>
  <c r="D26" i="7" s="1"/>
  <c r="P25" i="7"/>
  <c r="O26" i="7"/>
  <c r="P26" i="7" s="1"/>
  <c r="I25" i="7"/>
  <c r="J25" i="7" s="1"/>
  <c r="S11" i="4" l="1"/>
  <c r="Q11" i="4"/>
  <c r="E11" i="4"/>
  <c r="M9" i="3"/>
  <c r="K9" i="3"/>
  <c r="L9" i="3" s="1"/>
  <c r="L11" i="4"/>
  <c r="J11" i="4"/>
  <c r="F10" i="4"/>
  <c r="D10" i="4"/>
  <c r="T9" i="3"/>
  <c r="R9" i="3"/>
  <c r="S9" i="3" s="1"/>
  <c r="T8" i="3"/>
  <c r="R8" i="3"/>
  <c r="S8" i="3" s="1"/>
  <c r="D8" i="3"/>
  <c r="E8" i="3" s="1"/>
  <c r="E17" i="3" s="1"/>
  <c r="F8" i="3"/>
  <c r="C13" i="2"/>
  <c r="D14" i="2"/>
  <c r="F17" i="3"/>
  <c r="F12" i="3"/>
  <c r="M33" i="9"/>
  <c r="M25" i="9"/>
  <c r="L33" i="9"/>
  <c r="L25" i="9"/>
  <c r="G35" i="9"/>
  <c r="K33" i="9"/>
  <c r="K25" i="9"/>
  <c r="D41" i="7"/>
  <c r="E8" i="7" s="1"/>
  <c r="P41" i="7"/>
  <c r="Q8" i="7" s="1"/>
  <c r="J41" i="7"/>
  <c r="K40" i="7"/>
  <c r="I26" i="7"/>
  <c r="J26" i="7" s="1"/>
  <c r="E23" i="2" l="1"/>
  <c r="C23" i="2" s="1"/>
  <c r="C27" i="2" s="1"/>
  <c r="C14" i="2"/>
  <c r="C19" i="2" s="1"/>
  <c r="D19" i="2" s="1"/>
  <c r="M11" i="4"/>
  <c r="K11" i="4"/>
  <c r="F11" i="4"/>
  <c r="T11" i="4"/>
  <c r="R11" i="4"/>
  <c r="G36" i="9"/>
  <c r="K34" i="9"/>
  <c r="K26" i="9"/>
  <c r="L34" i="9"/>
  <c r="L26" i="9"/>
  <c r="M34" i="9"/>
  <c r="M26" i="9"/>
  <c r="K8" i="7"/>
  <c r="J12" i="8"/>
  <c r="F24" i="3" l="1"/>
  <c r="M35" i="9"/>
  <c r="M27" i="9"/>
  <c r="M28" i="9" s="1"/>
  <c r="M36" i="9"/>
  <c r="M40" i="9" s="1"/>
  <c r="L35" i="9"/>
  <c r="L27" i="9"/>
  <c r="L28" i="9" s="1"/>
  <c r="L36" i="9"/>
  <c r="L40" i="9" s="1"/>
  <c r="G37" i="9"/>
  <c r="G38" i="9" s="1"/>
  <c r="K35" i="9"/>
  <c r="K36" i="9" s="1"/>
  <c r="K27" i="9"/>
  <c r="K28" i="9"/>
  <c r="O12" i="8"/>
  <c r="O16" i="8" s="1"/>
  <c r="E12" i="8"/>
  <c r="E16" i="8" s="1"/>
  <c r="J16" i="8"/>
  <c r="M12" i="3"/>
  <c r="C15" i="5"/>
  <c r="C32" i="5" s="1"/>
  <c r="R11" i="5"/>
  <c r="O15" i="5"/>
  <c r="R12" i="5" s="1"/>
  <c r="I15" i="5"/>
  <c r="L12" i="5" s="1"/>
  <c r="C14" i="4"/>
  <c r="F13" i="4"/>
  <c r="Q14" i="4"/>
  <c r="J14" i="4"/>
  <c r="G7" i="3"/>
  <c r="T12" i="3"/>
  <c r="R24" i="3" s="1"/>
  <c r="T11" i="3"/>
  <c r="U7" i="3"/>
  <c r="N7" i="3"/>
  <c r="K40" i="9" l="1"/>
  <c r="M14" i="4"/>
  <c r="T14" i="4"/>
  <c r="D19" i="4"/>
  <c r="E19" i="4"/>
  <c r="M18" i="3"/>
  <c r="J19" i="4"/>
  <c r="F14" i="4"/>
  <c r="T23" i="3"/>
  <c r="T17" i="3"/>
  <c r="L17" i="3"/>
  <c r="M23" i="3"/>
  <c r="T24" i="3"/>
  <c r="S24" i="3"/>
  <c r="E24" i="3"/>
  <c r="Q19" i="4"/>
  <c r="S19" i="4"/>
  <c r="R19" i="4"/>
  <c r="I12" i="5"/>
  <c r="J12" i="5" s="1"/>
  <c r="K38" i="5"/>
  <c r="I38" i="5" s="1"/>
  <c r="I11" i="5"/>
  <c r="K19" i="5" s="1"/>
  <c r="I37" i="5"/>
  <c r="O12" i="5"/>
  <c r="Q38" i="5"/>
  <c r="O38" i="5" s="1"/>
  <c r="Q37" i="5"/>
  <c r="O37" i="5" s="1"/>
  <c r="P37" i="5" s="1"/>
  <c r="O11" i="5"/>
  <c r="E37" i="5"/>
  <c r="C37" i="5" s="1"/>
  <c r="D37" i="5" s="1"/>
  <c r="E38" i="5"/>
  <c r="C38" i="5" s="1"/>
  <c r="C44" i="5" s="1"/>
  <c r="J20" i="4"/>
  <c r="N9" i="4"/>
  <c r="L18" i="3" l="1"/>
  <c r="S17" i="3"/>
  <c r="M17" i="3"/>
  <c r="K19" i="4"/>
  <c r="L19" i="4"/>
  <c r="E20" i="4"/>
  <c r="D20" i="4"/>
  <c r="E11" i="5"/>
  <c r="Q12" i="5"/>
  <c r="Q20" i="5"/>
  <c r="O20" i="5" s="1"/>
  <c r="P11" i="5"/>
  <c r="Q19" i="5"/>
  <c r="O19" i="5" s="1"/>
  <c r="E20" i="5"/>
  <c r="K23" i="3"/>
  <c r="L23" i="3"/>
  <c r="R23" i="3"/>
  <c r="S23" i="3"/>
  <c r="K12" i="5"/>
  <c r="K20" i="5"/>
  <c r="I20" i="5" s="1"/>
  <c r="I19" i="5"/>
  <c r="O43" i="5"/>
  <c r="P43" i="5" s="1"/>
  <c r="C43" i="5"/>
  <c r="D43" i="5" s="1"/>
  <c r="P12" i="5"/>
  <c r="L20" i="4"/>
  <c r="K20" i="4"/>
  <c r="M24" i="3"/>
  <c r="L24" i="3"/>
  <c r="K24" i="3"/>
  <c r="D44" i="5"/>
  <c r="D38" i="5"/>
  <c r="D12" i="5"/>
  <c r="D32" i="5"/>
  <c r="D11" i="5"/>
  <c r="C31" i="5"/>
  <c r="D31" i="5" s="1"/>
  <c r="Q11" i="5"/>
  <c r="O31" i="5"/>
  <c r="P31" i="5" s="1"/>
  <c r="O44" i="5"/>
  <c r="P44" i="5" s="1"/>
  <c r="P38" i="5"/>
  <c r="O32" i="5"/>
  <c r="P32" i="5" s="1"/>
  <c r="I43" i="5"/>
  <c r="J43" i="5" s="1"/>
  <c r="J37" i="5"/>
  <c r="J11" i="5"/>
  <c r="K11" i="5"/>
  <c r="I31" i="5"/>
  <c r="J31" i="5" s="1"/>
  <c r="I44" i="5"/>
  <c r="J44" i="5" s="1"/>
  <c r="J38" i="5"/>
  <c r="I32" i="5"/>
  <c r="J32" i="5" s="1"/>
  <c r="Q20" i="4"/>
  <c r="S20" i="4"/>
  <c r="R20" i="4"/>
  <c r="E23" i="3"/>
  <c r="T18" i="3"/>
  <c r="S18" i="3"/>
  <c r="M9" i="2"/>
  <c r="N14" i="2" s="1"/>
  <c r="M14" i="2" s="1"/>
  <c r="M19" i="2" s="1"/>
  <c r="N19" i="2" s="1"/>
  <c r="I13" i="2"/>
  <c r="H13" i="2" s="1"/>
  <c r="H9" i="2"/>
  <c r="I14" i="2" s="1"/>
  <c r="E18" i="3" l="1"/>
  <c r="D23" i="2"/>
  <c r="J23" i="2"/>
  <c r="H23" i="2" s="1"/>
  <c r="H14" i="2"/>
  <c r="H19" i="2" s="1"/>
  <c r="I19" i="2" s="1"/>
  <c r="J19" i="5"/>
  <c r="J25" i="5" s="1"/>
  <c r="K25" i="5"/>
  <c r="I25" i="5"/>
  <c r="P20" i="5"/>
  <c r="P26" i="5" s="1"/>
  <c r="Q26" i="5"/>
  <c r="O26" i="5"/>
  <c r="J20" i="5"/>
  <c r="J26" i="5" s="1"/>
  <c r="K26" i="5"/>
  <c r="I26" i="5"/>
  <c r="P19" i="5"/>
  <c r="P25" i="5" s="1"/>
  <c r="Q25" i="5"/>
  <c r="O25" i="5"/>
  <c r="D19" i="5"/>
  <c r="D25" i="5" s="1"/>
  <c r="C25" i="5"/>
  <c r="D26" i="5"/>
  <c r="E26" i="5"/>
  <c r="N13" i="2"/>
  <c r="M13" i="2" s="1"/>
  <c r="M18" i="2" s="1"/>
  <c r="N18" i="2" s="1"/>
  <c r="H27" i="2" l="1"/>
  <c r="I27" i="2" s="1"/>
  <c r="I23" i="2"/>
  <c r="C18" i="2"/>
  <c r="D18" i="2" s="1"/>
  <c r="O23" i="2"/>
  <c r="M23" i="2" s="1"/>
  <c r="H18" i="2"/>
  <c r="M27" i="2" l="1"/>
  <c r="N27" i="2" s="1"/>
  <c r="N23" i="2"/>
  <c r="I18" i="2"/>
</calcChain>
</file>

<file path=xl/sharedStrings.xml><?xml version="1.0" encoding="utf-8"?>
<sst xmlns="http://schemas.openxmlformats.org/spreadsheetml/2006/main" count="923" uniqueCount="224">
  <si>
    <t>População</t>
  </si>
  <si>
    <t>Região Sul/Sudeste</t>
  </si>
  <si>
    <t>Região Nordeste</t>
  </si>
  <si>
    <t>Região Norte/Centro Oeste</t>
  </si>
  <si>
    <t>Valor da Franquia</t>
  </si>
  <si>
    <t>Market Share</t>
  </si>
  <si>
    <t>Porcentagem</t>
  </si>
  <si>
    <t>ERB</t>
  </si>
  <si>
    <t>Quantidade de Pessoas Atendidas por Unidade</t>
  </si>
  <si>
    <t>Referência</t>
  </si>
  <si>
    <t>Referente a 100%</t>
  </si>
  <si>
    <t>Referente a 15%</t>
  </si>
  <si>
    <t>Custo Instalação</t>
  </si>
  <si>
    <t>Custo</t>
  </si>
  <si>
    <t>Posto de Atendimento (PA)</t>
  </si>
  <si>
    <t>PA</t>
  </si>
  <si>
    <t>Atendentes</t>
  </si>
  <si>
    <t>Quantidade de clientes atendidos</t>
  </si>
  <si>
    <t>Custo Mensal</t>
  </si>
  <si>
    <t>Região Sul/ Sudeste</t>
  </si>
  <si>
    <t>Região Norte/ Centro Oeste</t>
  </si>
  <si>
    <t>Equipe Logistica</t>
  </si>
  <si>
    <t>Funcionários</t>
  </si>
  <si>
    <t>Movimentação em Lote</t>
  </si>
  <si>
    <t>1 Lote</t>
  </si>
  <si>
    <t>Total de celulares</t>
  </si>
  <si>
    <t>Equivalente a 15%</t>
  </si>
  <si>
    <t>Custo Armazém</t>
  </si>
  <si>
    <t>Capacidade armazem</t>
  </si>
  <si>
    <t>Aquisição</t>
  </si>
  <si>
    <t>Manutenção Mensal</t>
  </si>
  <si>
    <t>Custo Equipe Logística</t>
  </si>
  <si>
    <t>Contratação</t>
  </si>
  <si>
    <t>Treinamento</t>
  </si>
  <si>
    <t>Salário Mensal</t>
  </si>
  <si>
    <t>Região</t>
  </si>
  <si>
    <t>Market Share 15%</t>
  </si>
  <si>
    <t>Custo ERB</t>
  </si>
  <si>
    <t>Qtd ERB Market share 15%</t>
  </si>
  <si>
    <t>Custo Instalação ERB Makert Share 15%</t>
  </si>
  <si>
    <t>Posto de Atendimento</t>
  </si>
  <si>
    <t>Custo P.A</t>
  </si>
  <si>
    <t>Qtd Posto Atendimento Market Share 15%</t>
  </si>
  <si>
    <t>Custo Mensal Posto Atendimento</t>
  </si>
  <si>
    <t>Movimentação Celulares/ Lote</t>
  </si>
  <si>
    <t>Qtd de Equipes Log Makert Share 15%</t>
  </si>
  <si>
    <t>Qtd Funcionários  Makert Share 15% Log</t>
  </si>
  <si>
    <t>Armazém 1 lote</t>
  </si>
  <si>
    <t>Qtd 1 Lote</t>
  </si>
  <si>
    <t xml:space="preserve">Aquisição </t>
  </si>
  <si>
    <t>Manutenção/Mensal</t>
  </si>
  <si>
    <t>Qtd de Armazém Makert Share 15%</t>
  </si>
  <si>
    <t>Custo Aquisição Armazém Makert Share 15%</t>
  </si>
  <si>
    <t>Manutenção Mensal Armazém Makert Share 15%</t>
  </si>
  <si>
    <t>Sálario Mensal</t>
  </si>
  <si>
    <t>Custo Total Contratação Equipe Log Makert Share 15%</t>
  </si>
  <si>
    <t>Custo Total Treinamento Equipe Log Makert Share 15%</t>
  </si>
  <si>
    <t>Salário Mensal Total Equipe Log Makert Share 15%</t>
  </si>
  <si>
    <t>Sul/Sudeste</t>
  </si>
  <si>
    <t>Nordeste</t>
  </si>
  <si>
    <t>Norte/Centro Oeste</t>
  </si>
  <si>
    <t>Equipe Comercial</t>
  </si>
  <si>
    <t>Venda em Lote</t>
  </si>
  <si>
    <t>Lote</t>
  </si>
  <si>
    <t>Total</t>
  </si>
  <si>
    <t>Custo Equipe Comercial</t>
  </si>
  <si>
    <t>Referente a 40%</t>
  </si>
  <si>
    <t>Referente a 35%</t>
  </si>
  <si>
    <t>Equivalente a 6%</t>
  </si>
  <si>
    <t>Equivalente a 5%</t>
  </si>
  <si>
    <t>Equivalente a 4%</t>
  </si>
  <si>
    <t xml:space="preserve">Total </t>
  </si>
  <si>
    <t>Equipe Comercial Market Share 15%</t>
  </si>
  <si>
    <t>Funcionários Equipe Comercial Makert Share 15%</t>
  </si>
  <si>
    <t>Venda em Lote Equipe Comercial</t>
  </si>
  <si>
    <t>Contratação Equipe Comercial  Makert Share 15%</t>
  </si>
  <si>
    <t xml:space="preserve">Treinamento Equipe Comercial Makert Share 15% </t>
  </si>
  <si>
    <t>Salário Mensal Equipe Comercial Makert Share 15%</t>
  </si>
  <si>
    <t>Instalação e Manutenção/mês</t>
  </si>
  <si>
    <t>Atendimento</t>
  </si>
  <si>
    <t>Referente 100%</t>
  </si>
  <si>
    <t>Equipe Infraestrutura</t>
  </si>
  <si>
    <t>Instala e Mantém</t>
  </si>
  <si>
    <t>Custo Equipe Infraesrutura</t>
  </si>
  <si>
    <t>Custo Instalação ERB</t>
  </si>
  <si>
    <t>Valor</t>
  </si>
  <si>
    <t>Instalação e Manutenção</t>
  </si>
  <si>
    <t>ERB Market Share 15%</t>
  </si>
  <si>
    <t>Funcionários  Market Share 15% Infra</t>
  </si>
  <si>
    <t>Instalação e Manutenção/mês Infra Market Share 15%</t>
  </si>
  <si>
    <t>Funcionários Infra</t>
  </si>
  <si>
    <t xml:space="preserve">Equipe Infraestrutura Market Share 15%  </t>
  </si>
  <si>
    <t>Funcionários Equipe Infra Market Share 15%</t>
  </si>
  <si>
    <t>Contratação Equipe Infra Market Share 15%</t>
  </si>
  <si>
    <t>Treinamento Equipe Infra Market Share 15%</t>
  </si>
  <si>
    <t>Salário Mensal Equipe InfraMarket Share 15%</t>
  </si>
  <si>
    <t>Sul/Suldeste</t>
  </si>
  <si>
    <t>Norte/Centro oeste</t>
  </si>
  <si>
    <t>Valor ERB 1und</t>
  </si>
  <si>
    <t>Custo Armazém 25 Lotes</t>
  </si>
  <si>
    <t>Custo Lote Cel</t>
  </si>
  <si>
    <t>Custo 1 Lote Cel (5000)</t>
  </si>
  <si>
    <t>Equipe Logistical 1 Equipes</t>
  </si>
  <si>
    <t>Equipe Logistical 40 Equipes</t>
  </si>
  <si>
    <t>Equipe Comercial 1 Equipes</t>
  </si>
  <si>
    <t>Equipe Comercial 80 Equipes</t>
  </si>
  <si>
    <t>Equipe Infraestrutura 1 Equipe</t>
  </si>
  <si>
    <t>Total de Investimento Inicial</t>
  </si>
  <si>
    <t>Contratação Equipe Logistica</t>
  </si>
  <si>
    <t>Treinamento Equipe Logistica</t>
  </si>
  <si>
    <t>Contratação Equipe Comercial</t>
  </si>
  <si>
    <t>Treinamento Equipe Comercial</t>
  </si>
  <si>
    <t>Contratação Equipe Infraestrutura</t>
  </si>
  <si>
    <t>Treinamento Equipe Infraestrutura</t>
  </si>
  <si>
    <t xml:space="preserve">Planilha geral para informar o custo total de gastos com base para o investimento , em cima de 15% do market Share por estado.  </t>
  </si>
  <si>
    <t xml:space="preserve">As planilhas mostram o valor inicial para a instalação de 1 unidade de cada item necessário para a entrada no setor. </t>
  </si>
  <si>
    <t>E mostra o valor necessário de unidades para suprir o total do MarketShare e o custo operacional que falta para ser investido no total</t>
  </si>
  <si>
    <t>Investimento Inicial</t>
  </si>
  <si>
    <t xml:space="preserve">Custo Mensal </t>
  </si>
  <si>
    <t>Investimento Restante</t>
  </si>
  <si>
    <t>Custo Mensal Restante</t>
  </si>
  <si>
    <t>Investimento</t>
  </si>
  <si>
    <t>Investimento Inicial Total</t>
  </si>
  <si>
    <t>Norte/ Centro Oeste</t>
  </si>
  <si>
    <t>Custos Despesas e Investimentos</t>
  </si>
  <si>
    <t>Quantidade Total</t>
  </si>
  <si>
    <t>Quantidade Instalada</t>
  </si>
  <si>
    <t>Quantidade Restante</t>
  </si>
  <si>
    <t>Postos de Atendimento</t>
  </si>
  <si>
    <t>Armazém</t>
  </si>
  <si>
    <t>Equipe de Infraestrutura</t>
  </si>
  <si>
    <t>Investimento Restante das ERB'S</t>
  </si>
  <si>
    <t>Custo Instalação ERB Sul/Sudeste</t>
  </si>
  <si>
    <t>Custo Instalação ERB Nordeste</t>
  </si>
  <si>
    <t>Custo Instalação ERB Norte/Centro Oeste</t>
  </si>
  <si>
    <t>Total 15% Market Share</t>
  </si>
  <si>
    <t>Total 5% Market Share</t>
  </si>
  <si>
    <t>Qtd Restante de ERB</t>
  </si>
  <si>
    <t xml:space="preserve">Postos de Atendimentos Restantes </t>
  </si>
  <si>
    <t>Posto de Atendimento (PA) Sul/Sudeste</t>
  </si>
  <si>
    <t>Posto de Atendimento (PA) Nordeste</t>
  </si>
  <si>
    <t>Posto de Atendimento (PA) Norte/CentroOeste</t>
  </si>
  <si>
    <t>Qtd Restante de PA</t>
  </si>
  <si>
    <t xml:space="preserve">Armazéns Restantes </t>
  </si>
  <si>
    <t>Custo Armazém Sul/Sudeste</t>
  </si>
  <si>
    <t>Custo Armazém Nordeste</t>
  </si>
  <si>
    <t>Custo Armazém Norte/Centro Oeste</t>
  </si>
  <si>
    <t>Qtd Restantes de Armazéns</t>
  </si>
  <si>
    <t>Equipe Logística Restante</t>
  </si>
  <si>
    <t>Custo Equipe Logística Sul/Sudeste</t>
  </si>
  <si>
    <t>Custo Equipe Logística Nordeste</t>
  </si>
  <si>
    <t>Custo Equipe Logística Norte/Centro Oeste</t>
  </si>
  <si>
    <t>Qtd Restantes de Equipe Logistica</t>
  </si>
  <si>
    <t>Equipe Comercial Restante</t>
  </si>
  <si>
    <t>Custo Equipe Comercial Sul/Sudeste</t>
  </si>
  <si>
    <t>Custo Equipe Comercial Nordeste</t>
  </si>
  <si>
    <t>Custo Equipe Comercial Norte/Centro Oeste</t>
  </si>
  <si>
    <t>Qtd Restantes de Equipe Comercial</t>
  </si>
  <si>
    <t>Equipe de Infraestrutura Restante</t>
  </si>
  <si>
    <t>Custo Equipe Infraestrutura Sul/Sudeste</t>
  </si>
  <si>
    <t>Custo Equipe Infraestrutura Nordeste</t>
  </si>
  <si>
    <t>Custo Equipe Infraestrutura Norte/Centro Oeste</t>
  </si>
  <si>
    <t>Valor $ das Unidades Restantes</t>
  </si>
  <si>
    <t>Tipos de Aparelhos</t>
  </si>
  <si>
    <t>Modelos</t>
  </si>
  <si>
    <t xml:space="preserve">Preço de Compra </t>
  </si>
  <si>
    <t>Preço de Compra + Imposto</t>
  </si>
  <si>
    <t>Preço Médio de Venda</t>
  </si>
  <si>
    <t>Preço de Venda</t>
  </si>
  <si>
    <t>Vendas de 1 Aparelho</t>
  </si>
  <si>
    <t>importado mais caro</t>
  </si>
  <si>
    <t>iphone 16 pro max</t>
  </si>
  <si>
    <t>Receita</t>
  </si>
  <si>
    <t>Despesas</t>
  </si>
  <si>
    <t>Lucro</t>
  </si>
  <si>
    <t>importado mais barato</t>
  </si>
  <si>
    <t>xiaomi redmi A3</t>
  </si>
  <si>
    <t>nacional mais caro</t>
  </si>
  <si>
    <t>Galaxy z fold 6</t>
  </si>
  <si>
    <t>nacional mais barato</t>
  </si>
  <si>
    <t>Motorola Moto G84</t>
  </si>
  <si>
    <t>Valor Total Preço de compra</t>
  </si>
  <si>
    <t>Quantidade de Vendas de Produtos</t>
  </si>
  <si>
    <t>Unidade por Aparelhos</t>
  </si>
  <si>
    <t xml:space="preserve">Compra </t>
  </si>
  <si>
    <t>Valor da compra</t>
  </si>
  <si>
    <t>Produtos 100%</t>
  </si>
  <si>
    <t>importado mais caro 15%</t>
  </si>
  <si>
    <t>importado mais barato 15%</t>
  </si>
  <si>
    <t>nacional mais caro 35%</t>
  </si>
  <si>
    <t>nacional mais barato 35%</t>
  </si>
  <si>
    <t>Despesas para compra inicial de Aparelhos</t>
  </si>
  <si>
    <t>Valor Pacote de Serviço por Aparelho</t>
  </si>
  <si>
    <t>Total Despesas por Região</t>
  </si>
  <si>
    <t>Total Receita dos Planos</t>
  </si>
  <si>
    <t>Receitas inicial de Vendas Aparelhos</t>
  </si>
  <si>
    <t>Receita Pacote de Serviço por Aparelho</t>
  </si>
  <si>
    <t>Valor 1 um</t>
  </si>
  <si>
    <t>Receita por unidades</t>
  </si>
  <si>
    <t>Receita Vendas de Aparelhos + Pacote de Serviços</t>
  </si>
  <si>
    <t>Planejamento de vendas de Aparelhos celulares anual</t>
  </si>
  <si>
    <t>Crescimento de 15% em 3 anos</t>
  </si>
  <si>
    <t>Crescimento referente a 5% no 1° ano</t>
  </si>
  <si>
    <t>Crescimento referente a 10% no 2° ano</t>
  </si>
  <si>
    <t>Crescimento referente a 15% no 3° ano</t>
  </si>
  <si>
    <t>Mês</t>
  </si>
  <si>
    <t>% Vendas</t>
  </si>
  <si>
    <t>Total Cel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</si>
  <si>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</si>
  <si>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</si>
  <si>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</si>
  <si>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</si>
  <si>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</si>
  <si>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</si>
  <si>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</si>
  <si>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</si>
  <si>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</si>
  <si>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</si>
  <si>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</si>
  <si>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</si>
  <si>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População Total</t>
  </si>
  <si>
    <t>Crescimento de 5%</t>
  </si>
  <si>
    <t>Crescimento de 10%</t>
  </si>
  <si>
    <t>Crescimento de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</si>
</sst>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_-;\-* #,##0_-;_-* &quot;-&quot;_-;_-@_-"/>
    <numFmt numFmtId="165" formatCode="_-&quot;R$&quot;\ * #,##0.00_-;\-&quot;R$&quot;\ * #,##0.00_-;_-&quot;R$&quot;\ * &quot;-&quot;??_-;_-@_-"/>
    <numFmt numFmtId="166" formatCode="_-* #,##0.00_-;\-* #,##0.00_-;_-* &quot;-&quot;??_-;_-@_-"/>
    <numFmt numFmtId="167" formatCode="&quot;R$&quot;\ #,##0.00"/>
    <numFmt numFmtId="168" formatCode="_-* #,##0_-;\-* #,##0_-;_-* &quot;-&quot;??_-;_-@_-"/>
    <numFmt numFmtId="169" formatCode="&quot;R$&quot;#,##0.00"/>
    <numFmt numFmtId="170" formatCode="_-[$R$-416]\ * #,##0.00_-;\-[$R$-416]\ * #,##0.00_-;_-[$R$-416]\ * &quot;-&quot;??_-;_-@_-"/>
    <numFmt numFmtId="171" formatCode="#,##0_ ;\-#,##0\ "/>
  </numFmts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theme="1"/>
      <name val="Aptos Narrow"/>
      <scheme val="minor"/>
    </font>
    <font>
      <sz val="11"/>
      <name val="Aptos Narrow"/>
      <family val="2"/>
      <scheme val="minor"/>
    </font>
    <font>
      <b/>
      <sz val="11"/>
      <name val="Aptos Narrow"/>
      <scheme val="minor"/>
    </font>
    <font>
      <b/>
      <sz val="12"/>
      <color rgb="FF000000"/>
      <name val="Calibri"/>
      <family val="2"/>
      <charset val="1"/>
    </font>
    <font>
      <b/>
      <sz val="11"/>
      <color rgb="FF000000"/>
      <name val="Aptos Narrow"/>
      <charset val="1"/>
    </font>
    <font>
      <b/>
      <sz val="11"/>
      <color rgb="FF000000"/>
      <name val="Calibri"/>
      <family val="2"/>
    </font>
    <font>
      <sz val="18"/>
      <color rgb="FFFF0000"/>
      <name val="Aptos Narrow"/>
      <family val="2"/>
      <scheme val="minor"/>
    </font>
    <font>
      <sz val="14"/>
      <color rgb="FFFF0000"/>
      <name val="Aptos Narrow"/>
      <family val="2"/>
      <scheme val="minor"/>
    </font>
    <font>
      <b/>
      <sz val="11"/>
      <color rgb="FF000000"/>
      <name val="Aptos Narrow"/>
      <scheme val="minor"/>
    </font>
    <font>
      <sz val="28"/>
      <color rgb="FFFF0000"/>
      <name val="Aptos Narrow"/>
      <family val="2"/>
      <scheme val="minor"/>
    </font>
    <font>
      <sz val="25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sz val="11"/>
      <color rgb="FF000000"/>
      <name val="Aptos Narrow"/>
      <family val="2"/>
    </font>
    <font>
      <b/>
      <sz val="11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3">
    <xf numFmtId="0" fontId="0" fillId="0" borderId="0" xfId="0"/>
    <xf numFmtId="166" fontId="0" fillId="0" borderId="0" xfId="1" applyFont="1"/>
    <xf numFmtId="166" fontId="0" fillId="0" borderId="0" xfId="0" applyNumberFormat="1"/>
    <xf numFmtId="0" fontId="0" fillId="0" borderId="1" xfId="0" applyBorder="1"/>
    <xf numFmtId="166" fontId="0" fillId="0" borderId="1" xfId="1" applyFont="1" applyBorder="1"/>
    <xf numFmtId="166" fontId="0" fillId="0" borderId="1" xfId="0" applyNumberFormat="1" applyBorder="1"/>
    <xf numFmtId="167" fontId="3" fillId="6" borderId="1" xfId="0" applyNumberFormat="1" applyFont="1" applyFill="1" applyBorder="1" applyAlignment="1">
      <alignment horizontal="left"/>
    </xf>
    <xf numFmtId="166" fontId="0" fillId="0" borderId="1" xfId="1" applyFont="1" applyBorder="1" applyAlignment="1"/>
    <xf numFmtId="167" fontId="0" fillId="0" borderId="1" xfId="0" applyNumberFormat="1" applyBorder="1"/>
    <xf numFmtId="169" fontId="0" fillId="0" borderId="1" xfId="0" applyNumberFormat="1" applyBorder="1"/>
    <xf numFmtId="0" fontId="9" fillId="0" borderId="1" xfId="0" applyFont="1" applyBorder="1"/>
    <xf numFmtId="9" fontId="0" fillId="0" borderId="1" xfId="0" applyNumberFormat="1" applyBorder="1" applyAlignment="1">
      <alignment horizontal="center"/>
    </xf>
    <xf numFmtId="166" fontId="9" fillId="0" borderId="1" xfId="1" applyFont="1" applyBorder="1"/>
    <xf numFmtId="165" fontId="0" fillId="0" borderId="1" xfId="2" applyFont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8" fillId="8" borderId="1" xfId="0" applyFont="1" applyFill="1" applyBorder="1"/>
    <xf numFmtId="0" fontId="8" fillId="8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3" applyFont="1"/>
    <xf numFmtId="9" fontId="0" fillId="0" borderId="0" xfId="0" applyNumberFormat="1"/>
    <xf numFmtId="0" fontId="6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2" fillId="0" borderId="0" xfId="0" applyNumberFormat="1" applyFont="1"/>
    <xf numFmtId="0" fontId="2" fillId="0" borderId="0" xfId="0" applyFont="1" applyAlignment="1">
      <alignment horizontal="center"/>
    </xf>
    <xf numFmtId="0" fontId="10" fillId="4" borderId="1" xfId="0" applyFont="1" applyFill="1" applyBorder="1"/>
    <xf numFmtId="0" fontId="8" fillId="4" borderId="1" xfId="0" applyFont="1" applyFill="1" applyBorder="1"/>
    <xf numFmtId="0" fontId="0" fillId="4" borderId="1" xfId="0" applyFill="1" applyBorder="1"/>
    <xf numFmtId="168" fontId="0" fillId="0" borderId="0" xfId="0" applyNumberFormat="1"/>
    <xf numFmtId="0" fontId="0" fillId="0" borderId="1" xfId="0" applyBorder="1" applyAlignment="1">
      <alignment horizontal="center"/>
    </xf>
    <xf numFmtId="9" fontId="3" fillId="4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/>
    <xf numFmtId="166" fontId="0" fillId="0" borderId="1" xfId="1" applyFont="1" applyFill="1" applyBorder="1"/>
    <xf numFmtId="0" fontId="8" fillId="10" borderId="1" xfId="0" applyFont="1" applyFill="1" applyBorder="1" applyAlignment="1">
      <alignment horizontal="center"/>
    </xf>
    <xf numFmtId="0" fontId="3" fillId="4" borderId="1" xfId="0" applyFont="1" applyFill="1" applyBorder="1"/>
    <xf numFmtId="0" fontId="0" fillId="4" borderId="1" xfId="0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10" borderId="1" xfId="0" applyFill="1" applyBorder="1"/>
    <xf numFmtId="166" fontId="0" fillId="0" borderId="1" xfId="1" applyFont="1" applyFill="1" applyBorder="1" applyAlignment="1"/>
    <xf numFmtId="166" fontId="0" fillId="0" borderId="0" xfId="1" applyFont="1" applyFill="1" applyBorder="1" applyAlignment="1"/>
    <xf numFmtId="0" fontId="0" fillId="0" borderId="0" xfId="0" applyAlignment="1">
      <alignment horizontal="center"/>
    </xf>
    <xf numFmtId="169" fontId="0" fillId="0" borderId="1" xfId="0" applyNumberFormat="1" applyBorder="1" applyAlignment="1">
      <alignment vertical="center"/>
    </xf>
    <xf numFmtId="169" fontId="0" fillId="0" borderId="0" xfId="0" applyNumberFormat="1" applyAlignment="1">
      <alignment vertical="center"/>
    </xf>
    <xf numFmtId="167" fontId="0" fillId="0" borderId="1" xfId="2" applyNumberFormat="1" applyFont="1" applyFill="1" applyBorder="1"/>
    <xf numFmtId="170" fontId="0" fillId="0" borderId="1" xfId="0" applyNumberFormat="1" applyBorder="1"/>
    <xf numFmtId="165" fontId="0" fillId="0" borderId="1" xfId="0" applyNumberFormat="1" applyBorder="1"/>
    <xf numFmtId="165" fontId="0" fillId="0" borderId="1" xfId="2" applyFont="1" applyFill="1" applyBorder="1"/>
    <xf numFmtId="0" fontId="3" fillId="10" borderId="1" xfId="0" applyFont="1" applyFill="1" applyBorder="1"/>
    <xf numFmtId="0" fontId="3" fillId="10" borderId="1" xfId="0" applyFont="1" applyFill="1" applyBorder="1" applyAlignment="1">
      <alignment horizontal="center"/>
    </xf>
    <xf numFmtId="165" fontId="0" fillId="0" borderId="0" xfId="0" applyNumberFormat="1"/>
    <xf numFmtId="167" fontId="0" fillId="0" borderId="0" xfId="0" applyNumberFormat="1"/>
    <xf numFmtId="165" fontId="0" fillId="0" borderId="0" xfId="2" applyFont="1" applyBorder="1"/>
    <xf numFmtId="169" fontId="0" fillId="0" borderId="0" xfId="0" applyNumberFormat="1" applyAlignment="1">
      <alignment horizontal="center"/>
    </xf>
    <xf numFmtId="169" fontId="0" fillId="0" borderId="0" xfId="0" applyNumberFormat="1"/>
    <xf numFmtId="166" fontId="9" fillId="0" borderId="1" xfId="0" applyNumberFormat="1" applyFont="1" applyBorder="1"/>
    <xf numFmtId="166" fontId="9" fillId="0" borderId="1" xfId="1" applyFont="1" applyFill="1" applyBorder="1" applyAlignment="1"/>
    <xf numFmtId="166" fontId="9" fillId="0" borderId="0" xfId="1" applyFont="1" applyBorder="1"/>
    <xf numFmtId="166" fontId="9" fillId="0" borderId="0" xfId="1" applyFont="1" applyFill="1" applyBorder="1" applyAlignment="1"/>
    <xf numFmtId="166" fontId="9" fillId="0" borderId="0" xfId="0" applyNumberFormat="1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166" fontId="0" fillId="0" borderId="0" xfId="1" applyFont="1" applyBorder="1"/>
    <xf numFmtId="0" fontId="8" fillId="0" borderId="0" xfId="0" applyFont="1" applyAlignment="1">
      <alignment horizontal="center"/>
    </xf>
    <xf numFmtId="0" fontId="8" fillId="0" borderId="0" xfId="0" applyFont="1"/>
    <xf numFmtId="0" fontId="3" fillId="0" borderId="1" xfId="0" applyFont="1" applyBorder="1" applyAlignment="1">
      <alignment horizontal="center"/>
    </xf>
    <xf numFmtId="168" fontId="0" fillId="0" borderId="1" xfId="1" applyNumberFormat="1" applyFont="1" applyFill="1" applyBorder="1"/>
    <xf numFmtId="164" fontId="0" fillId="0" borderId="1" xfId="0" applyNumberFormat="1" applyBorder="1"/>
    <xf numFmtId="168" fontId="0" fillId="0" borderId="1" xfId="0" applyNumberFormat="1" applyBorder="1"/>
    <xf numFmtId="167" fontId="0" fillId="0" borderId="1" xfId="1" applyNumberFormat="1" applyFont="1" applyBorder="1"/>
    <xf numFmtId="165" fontId="0" fillId="11" borderId="1" xfId="2" applyFont="1" applyFill="1" applyBorder="1"/>
    <xf numFmtId="167" fontId="0" fillId="11" borderId="1" xfId="0" applyNumberFormat="1" applyFill="1" applyBorder="1"/>
    <xf numFmtId="0" fontId="3" fillId="0" borderId="1" xfId="0" applyFont="1" applyBorder="1"/>
    <xf numFmtId="167" fontId="0" fillId="6" borderId="1" xfId="0" applyNumberFormat="1" applyFill="1" applyBorder="1"/>
    <xf numFmtId="167" fontId="0" fillId="0" borderId="0" xfId="1" applyNumberFormat="1" applyFont="1" applyBorder="1"/>
    <xf numFmtId="0" fontId="3" fillId="0" borderId="0" xfId="0" applyFont="1" applyAlignment="1">
      <alignment horizontal="center"/>
    </xf>
    <xf numFmtId="167" fontId="0" fillId="9" borderId="1" xfId="0" applyNumberFormat="1" applyFill="1" applyBorder="1"/>
    <xf numFmtId="0" fontId="3" fillId="0" borderId="0" xfId="0" applyFont="1"/>
    <xf numFmtId="0" fontId="0" fillId="0" borderId="1" xfId="0" applyBorder="1" applyAlignment="1">
      <alignment horizontal="left"/>
    </xf>
    <xf numFmtId="3" fontId="0" fillId="0" borderId="1" xfId="1" applyNumberFormat="1" applyFont="1" applyBorder="1"/>
    <xf numFmtId="171" fontId="0" fillId="0" borderId="1" xfId="1" applyNumberFormat="1" applyFont="1" applyBorder="1"/>
    <xf numFmtId="3" fontId="0" fillId="0" borderId="1" xfId="0" applyNumberFormat="1" applyBorder="1"/>
    <xf numFmtId="0" fontId="4" fillId="4" borderId="7" xfId="0" applyFont="1" applyFill="1" applyBorder="1"/>
    <xf numFmtId="0" fontId="0" fillId="4" borderId="7" xfId="0" applyFill="1" applyBorder="1"/>
    <xf numFmtId="0" fontId="3" fillId="4" borderId="7" xfId="0" applyFont="1" applyFill="1" applyBorder="1"/>
    <xf numFmtId="3" fontId="12" fillId="4" borderId="7" xfId="0" applyNumberFormat="1" applyFont="1" applyFill="1" applyBorder="1"/>
    <xf numFmtId="0" fontId="4" fillId="0" borderId="0" xfId="0" applyFont="1"/>
    <xf numFmtId="0" fontId="11" fillId="0" borderId="0" xfId="0" applyFont="1"/>
    <xf numFmtId="3" fontId="13" fillId="4" borderId="8" xfId="0" applyNumberFormat="1" applyFont="1" applyFill="1" applyBorder="1"/>
    <xf numFmtId="43" fontId="0" fillId="0" borderId="1" xfId="0" applyNumberFormat="1" applyBorder="1"/>
    <xf numFmtId="43" fontId="9" fillId="0" borderId="1" xfId="0" applyNumberFormat="1" applyFont="1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4" fontId="0" fillId="0" borderId="1" xfId="0" applyNumberFormat="1" applyBorder="1"/>
    <xf numFmtId="0" fontId="0" fillId="0" borderId="1" xfId="1" applyNumberFormat="1" applyFont="1" applyBorder="1"/>
    <xf numFmtId="3" fontId="0" fillId="0" borderId="0" xfId="0" applyNumberFormat="1"/>
    <xf numFmtId="0" fontId="4" fillId="4" borderId="1" xfId="0" applyFont="1" applyFill="1" applyBorder="1"/>
    <xf numFmtId="14" fontId="0" fillId="0" borderId="1" xfId="0" applyNumberFormat="1" applyBorder="1"/>
    <xf numFmtId="9" fontId="0" fillId="0" borderId="1" xfId="0" applyNumberFormat="1" applyBorder="1"/>
    <xf numFmtId="0" fontId="8" fillId="0" borderId="1" xfId="0" applyFont="1" applyBorder="1"/>
    <xf numFmtId="14" fontId="8" fillId="0" borderId="1" xfId="0" applyNumberFormat="1" applyFont="1" applyBorder="1"/>
    <xf numFmtId="4" fontId="0" fillId="0" borderId="1" xfId="1" applyNumberFormat="1" applyFont="1" applyFill="1" applyBorder="1" applyAlignment="1"/>
    <xf numFmtId="3" fontId="20" fillId="0" borderId="1" xfId="0" applyNumberFormat="1" applyFont="1" applyBorder="1"/>
    <xf numFmtId="167" fontId="0" fillId="0" borderId="1" xfId="1" applyNumberFormat="1" applyFont="1" applyFill="1" applyBorder="1" applyAlignment="1"/>
    <xf numFmtId="0" fontId="0" fillId="0" borderId="1" xfId="1" applyNumberFormat="1" applyFont="1" applyFill="1" applyBorder="1" applyAlignment="1"/>
    <xf numFmtId="3" fontId="2" fillId="0" borderId="1" xfId="0" applyNumberFormat="1" applyFont="1" applyBorder="1"/>
    <xf numFmtId="167" fontId="0" fillId="0" borderId="1" xfId="0" applyNumberFormat="1" applyBorder="1" applyAlignment="1">
      <alignment horizontal="right"/>
    </xf>
    <xf numFmtId="0" fontId="21" fillId="16" borderId="1" xfId="0" applyFont="1" applyFill="1" applyBorder="1"/>
    <xf numFmtId="0" fontId="3" fillId="16" borderId="1" xfId="0" applyFont="1" applyFill="1" applyBorder="1"/>
    <xf numFmtId="0" fontId="8" fillId="16" borderId="1" xfId="0" applyFont="1" applyFill="1" applyBorder="1"/>
    <xf numFmtId="0" fontId="0" fillId="0" borderId="1" xfId="1" applyNumberFormat="1" applyFont="1" applyBorder="1" applyAlignment="1"/>
    <xf numFmtId="0" fontId="9" fillId="17" borderId="1" xfId="0" applyFont="1" applyFill="1" applyBorder="1"/>
    <xf numFmtId="0" fontId="0" fillId="17" borderId="1" xfId="0" applyFill="1" applyBorder="1"/>
    <xf numFmtId="0" fontId="3" fillId="18" borderId="1" xfId="0" applyFont="1" applyFill="1" applyBorder="1"/>
    <xf numFmtId="0" fontId="3" fillId="18" borderId="1" xfId="0" applyFont="1" applyFill="1" applyBorder="1" applyAlignment="1">
      <alignment horizontal="center"/>
    </xf>
    <xf numFmtId="167" fontId="0" fillId="0" borderId="0" xfId="2" applyNumberFormat="1" applyFont="1" applyFill="1" applyBorder="1"/>
    <xf numFmtId="170" fontId="0" fillId="0" borderId="0" xfId="0" applyNumberFormat="1"/>
    <xf numFmtId="165" fontId="0" fillId="0" borderId="0" xfId="2" applyFont="1" applyFill="1" applyBorder="1"/>
    <xf numFmtId="0" fontId="0" fillId="13" borderId="1" xfId="0" applyFill="1" applyBorder="1"/>
    <xf numFmtId="166" fontId="0" fillId="0" borderId="1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6" fontId="0" fillId="0" borderId="1" xfId="1" applyFont="1" applyBorder="1" applyAlignment="1">
      <alignment horizontal="center"/>
    </xf>
    <xf numFmtId="0" fontId="4" fillId="6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right"/>
    </xf>
    <xf numFmtId="0" fontId="4" fillId="6" borderId="2" xfId="0" applyFont="1" applyFill="1" applyBorder="1" applyAlignment="1">
      <alignment horizontal="right"/>
    </xf>
    <xf numFmtId="0" fontId="4" fillId="6" borderId="3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166" fontId="0" fillId="0" borderId="0" xfId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166" fontId="9" fillId="0" borderId="4" xfId="1" applyFont="1" applyFill="1" applyBorder="1" applyAlignment="1">
      <alignment horizontal="center"/>
    </xf>
    <xf numFmtId="166" fontId="9" fillId="0" borderId="3" xfId="1" applyFont="1" applyFill="1" applyBorder="1" applyAlignment="1">
      <alignment horizontal="center"/>
    </xf>
    <xf numFmtId="166" fontId="9" fillId="0" borderId="1" xfId="1" applyFont="1" applyFill="1" applyBorder="1" applyAlignment="1">
      <alignment horizontal="center"/>
    </xf>
    <xf numFmtId="166" fontId="0" fillId="0" borderId="4" xfId="1" applyFont="1" applyFill="1" applyBorder="1" applyAlignment="1">
      <alignment horizontal="center"/>
    </xf>
    <xf numFmtId="166" fontId="0" fillId="0" borderId="3" xfId="1" applyFont="1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166" fontId="0" fillId="0" borderId="0" xfId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14" fillId="12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8" fillId="9" borderId="0" xfId="0" applyFont="1" applyFill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3" fontId="12" fillId="4" borderId="1" xfId="0" applyNumberFormat="1" applyFont="1" applyFill="1" applyBorder="1" applyAlignment="1">
      <alignment horizontal="center"/>
    </xf>
    <xf numFmtId="0" fontId="17" fillId="12" borderId="0" xfId="0" applyFont="1" applyFill="1" applyAlignment="1">
      <alignment horizontal="center"/>
    </xf>
    <xf numFmtId="0" fontId="18" fillId="14" borderId="0" xfId="0" applyFont="1" applyFill="1" applyAlignment="1">
      <alignment horizontal="center"/>
    </xf>
    <xf numFmtId="0" fontId="19" fillId="15" borderId="0" xfId="0" applyFont="1" applyFill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0" fontId="2" fillId="0" borderId="0" xfId="0" applyFont="1" applyAlignment="1"/>
    <xf numFmtId="9" fontId="2" fillId="0" borderId="0" xfId="0" applyNumberFormat="1" applyFont="1" applyAlignment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466725</xdr:colOff>
      <xdr:row>24</xdr:row>
      <xdr:rowOff>180975</xdr:rowOff>
    </xdr:from>
    <xdr:to>
      <xdr:col>5</xdr:col>
      <xdr:colOff>1257881</xdr:colOff>
      <xdr:row>40</xdr:row>
      <xdr:rowOff>380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5194" y="4776788"/>
          <a:ext cx="3636750" cy="2867405"/>
        </a:xfrm>
        <a:prstGeom prst="rect">
          <a:avLst/>
        </a:prstGeom>
      </xdr:spPr>
    </xdr:pic>
    <xdr:clientData/>
  </xdr:twoCellAnchor>
  <xdr:twoCellAnchor editAs="oneCell">
    <xdr:from>
      <xdr:col>6</xdr:col>
      <xdr:colOff>209549</xdr:colOff>
      <xdr:row>24</xdr:row>
      <xdr:rowOff>142875</xdr:rowOff>
    </xdr:from>
    <xdr:to>
      <xdr:col>10</xdr:col>
      <xdr:colOff>1066799</xdr:colOff>
      <xdr:row>37</xdr:row>
      <xdr:rowOff>85725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4724" y="4733925"/>
          <a:ext cx="5372100" cy="2419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180975</xdr:rowOff>
    </xdr:from>
    <xdr:to>
      <xdr:col>5</xdr:col>
      <xdr:colOff>409575</xdr:colOff>
      <xdr:row>34</xdr:row>
      <xdr:rowOff>123825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8A4B66E-C872-48B2-A58D-50C73EF32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419475"/>
          <a:ext cx="5372100" cy="2419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17</xdr:row>
      <xdr:rowOff>9525</xdr:rowOff>
    </xdr:from>
    <xdr:to>
      <xdr:col>6</xdr:col>
      <xdr:colOff>591135</xdr:colOff>
      <xdr:row>23</xdr:row>
      <xdr:rowOff>66835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EF18C04-9FB3-48D0-A4AA-02456474A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4825" y="2486025"/>
          <a:ext cx="3562935" cy="120031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17</xdr:row>
      <xdr:rowOff>0</xdr:rowOff>
    </xdr:from>
    <xdr:to>
      <xdr:col>3</xdr:col>
      <xdr:colOff>257756</xdr:colOff>
      <xdr:row>32</xdr:row>
      <xdr:rowOff>9905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8D04272-12E5-4E99-8F0E-D10C799AB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2476500"/>
          <a:ext cx="3639131" cy="2867405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17</xdr:row>
      <xdr:rowOff>0</xdr:rowOff>
    </xdr:from>
    <xdr:to>
      <xdr:col>9</xdr:col>
      <xdr:colOff>1076325</xdr:colOff>
      <xdr:row>29</xdr:row>
      <xdr:rowOff>133350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AACA3C-9487-4239-BC41-99786C4F0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4325" y="3238500"/>
          <a:ext cx="5372100" cy="24193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28575</xdr:colOff>
      <xdr:row>6</xdr:row>
      <xdr:rowOff>19050</xdr:rowOff>
    </xdr:from>
    <xdr:to>
      <xdr:col>33</xdr:col>
      <xdr:colOff>65527</xdr:colOff>
      <xdr:row>27</xdr:row>
      <xdr:rowOff>161407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19F43F6-99F3-23A8-B774-CB427BADB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60350" y="781050"/>
          <a:ext cx="9180952" cy="41428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9525</xdr:rowOff>
    </xdr:from>
    <xdr:to>
      <xdr:col>3</xdr:col>
      <xdr:colOff>772109</xdr:colOff>
      <xdr:row>30</xdr:row>
      <xdr:rowOff>104965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6C491D4-2AD7-4619-BA8C-B6711005A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438525"/>
          <a:ext cx="3724859" cy="142894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14</xdr:row>
      <xdr:rowOff>171450</xdr:rowOff>
    </xdr:from>
    <xdr:to>
      <xdr:col>6</xdr:col>
      <xdr:colOff>495884</xdr:colOff>
      <xdr:row>21</xdr:row>
      <xdr:rowOff>38260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023283C-188D-4C49-B19F-2B19A1637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1885950"/>
          <a:ext cx="3562934" cy="12003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200024</xdr:colOff>
      <xdr:row>27</xdr:row>
      <xdr:rowOff>171450</xdr:rowOff>
    </xdr:from>
    <xdr:to>
      <xdr:col>14</xdr:col>
      <xdr:colOff>590549</xdr:colOff>
      <xdr:row>43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2399B5E-0218-4378-B444-075A10CD9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43874" y="5886450"/>
          <a:ext cx="5162550" cy="2914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46"/>
  <sheetViews>
    <sheetView topLeftCell="B1" workbookViewId="0">
      <selection activeCell="K41" sqref="J41:K49"/>
    </sheetView>
  </sheetViews>
  <sheetFormatPr defaultRowHeight="15"/>
  <cols>
    <col min="2" max="2" width="18.85546875" bestFit="1" customWidth="1"/>
    <col min="3" max="3" width="15.5703125" bestFit="1" customWidth="1"/>
    <col min="4" max="4" width="22.42578125" bestFit="1" customWidth="1"/>
    <col min="5" max="5" width="32" bestFit="1" customWidth="1"/>
    <col min="6" max="6" width="7.5703125" customWidth="1"/>
    <col min="7" max="7" width="20.140625" bestFit="1" customWidth="1"/>
    <col min="8" max="8" width="17.42578125" bestFit="1" customWidth="1"/>
    <col min="9" max="9" width="11.42578125" bestFit="1" customWidth="1"/>
    <col min="10" max="10" width="32" bestFit="1" customWidth="1"/>
    <col min="11" max="11" width="8.7109375" customWidth="1"/>
    <col min="12" max="12" width="26.140625" bestFit="1" customWidth="1"/>
    <col min="13" max="13" width="10.5703125" bestFit="1" customWidth="1"/>
    <col min="14" max="14" width="19.5703125" customWidth="1"/>
    <col min="15" max="15" width="32" bestFit="1" customWidth="1"/>
    <col min="16" max="16" width="14.42578125" customWidth="1"/>
    <col min="17" max="17" width="15.42578125" customWidth="1"/>
    <col min="18" max="18" width="29.42578125" customWidth="1"/>
    <col min="19" max="19" width="10.5703125" customWidth="1"/>
    <col min="20" max="20" width="15.42578125" customWidth="1"/>
    <col min="21" max="21" width="14.42578125" customWidth="1"/>
    <col min="22" max="22" width="15.42578125" customWidth="1"/>
    <col min="23" max="23" width="29.42578125" customWidth="1"/>
    <col min="24" max="24" width="10.140625" bestFit="1" customWidth="1"/>
  </cols>
  <sheetData>
    <row r="2" spans="2:15" ht="15.75">
      <c r="B2" s="86" t="s">
        <v>0</v>
      </c>
      <c r="C2" s="87"/>
      <c r="G2" s="86" t="s">
        <v>0</v>
      </c>
      <c r="H2" s="87"/>
      <c r="L2" s="86" t="s">
        <v>0</v>
      </c>
      <c r="M2" s="88"/>
    </row>
    <row r="3" spans="2:15" ht="15.75">
      <c r="B3" s="88" t="s">
        <v>1</v>
      </c>
      <c r="C3" s="89">
        <v>114777819</v>
      </c>
      <c r="F3" s="90"/>
      <c r="G3" s="88" t="s">
        <v>2</v>
      </c>
      <c r="H3" s="89">
        <v>54658515</v>
      </c>
      <c r="I3" s="91"/>
      <c r="L3" s="88" t="s">
        <v>3</v>
      </c>
      <c r="M3" s="92">
        <v>33644422</v>
      </c>
    </row>
    <row r="5" spans="2:15" ht="18.75">
      <c r="B5" s="127" t="s">
        <v>1</v>
      </c>
      <c r="C5" s="127"/>
      <c r="D5" s="127"/>
      <c r="E5" s="127"/>
      <c r="G5" s="127" t="s">
        <v>2</v>
      </c>
      <c r="H5" s="127"/>
      <c r="I5" s="127"/>
      <c r="J5" s="127"/>
      <c r="L5" s="127" t="s">
        <v>3</v>
      </c>
      <c r="M5" s="127"/>
      <c r="N5" s="127"/>
      <c r="O5" s="127"/>
    </row>
    <row r="6" spans="2:15" ht="15.75">
      <c r="B6" s="126" t="s">
        <v>4</v>
      </c>
      <c r="C6" s="126"/>
      <c r="D6" s="133">
        <v>150000000</v>
      </c>
      <c r="E6" s="133"/>
      <c r="G6" s="128" t="s">
        <v>4</v>
      </c>
      <c r="H6" s="129"/>
      <c r="I6" s="130"/>
      <c r="J6" s="6">
        <v>100000000</v>
      </c>
      <c r="L6" s="126" t="s">
        <v>4</v>
      </c>
      <c r="M6" s="126"/>
      <c r="N6" s="126"/>
      <c r="O6" s="6">
        <v>80000000</v>
      </c>
    </row>
    <row r="7" spans="2:15">
      <c r="B7" s="33"/>
      <c r="C7" s="124" t="s">
        <v>5</v>
      </c>
      <c r="D7" s="124"/>
      <c r="E7" s="34" t="s">
        <v>6</v>
      </c>
      <c r="G7" s="33"/>
      <c r="H7" s="124" t="s">
        <v>5</v>
      </c>
      <c r="I7" s="124"/>
      <c r="J7" s="34" t="s">
        <v>6</v>
      </c>
      <c r="L7" s="33"/>
      <c r="M7" s="124" t="s">
        <v>5</v>
      </c>
      <c r="N7" s="124"/>
      <c r="O7" s="34" t="s">
        <v>6</v>
      </c>
    </row>
    <row r="8" spans="2:15">
      <c r="B8" s="33"/>
      <c r="C8" s="125">
        <f>C3</f>
        <v>114777819</v>
      </c>
      <c r="D8" s="125"/>
      <c r="E8" s="11">
        <v>1</v>
      </c>
      <c r="G8" s="33"/>
      <c r="H8" s="125">
        <f>H3</f>
        <v>54658515</v>
      </c>
      <c r="I8" s="125"/>
      <c r="J8" s="11">
        <v>1</v>
      </c>
      <c r="L8" s="33"/>
      <c r="M8" s="125">
        <f>M3</f>
        <v>33644422</v>
      </c>
      <c r="N8" s="125"/>
      <c r="O8" s="11">
        <v>1</v>
      </c>
    </row>
    <row r="9" spans="2:15">
      <c r="B9" s="33"/>
      <c r="C9" s="125">
        <f>C8*E9</f>
        <v>17216672.849999998</v>
      </c>
      <c r="D9" s="125"/>
      <c r="E9" s="11">
        <v>0.15</v>
      </c>
      <c r="G9" s="33"/>
      <c r="H9" s="125">
        <f>H8*J9</f>
        <v>8198777.25</v>
      </c>
      <c r="I9" s="125"/>
      <c r="J9" s="11">
        <v>0.15</v>
      </c>
      <c r="L9" s="33"/>
      <c r="M9" s="125">
        <f>M8*O9</f>
        <v>5046663.3</v>
      </c>
      <c r="N9" s="125"/>
      <c r="O9" s="11">
        <v>0.15</v>
      </c>
    </row>
    <row r="10" spans="2:15" ht="15.75">
      <c r="B10" s="131" t="s">
        <v>7</v>
      </c>
      <c r="C10" s="131"/>
      <c r="D10" s="131"/>
      <c r="E10" s="131"/>
      <c r="G10" s="131"/>
      <c r="H10" s="131"/>
      <c r="I10" s="131"/>
      <c r="J10" s="131"/>
      <c r="L10" s="131" t="s">
        <v>7</v>
      </c>
      <c r="M10" s="131"/>
      <c r="N10" s="131"/>
      <c r="O10" s="131"/>
    </row>
    <row r="11" spans="2:15">
      <c r="B11" s="3"/>
      <c r="C11" s="18" t="s">
        <v>7</v>
      </c>
      <c r="D11" s="132" t="s">
        <v>8</v>
      </c>
      <c r="E11" s="132"/>
      <c r="G11" s="3"/>
      <c r="H11" s="18" t="s">
        <v>7</v>
      </c>
      <c r="I11" s="132" t="s">
        <v>8</v>
      </c>
      <c r="J11" s="132"/>
      <c r="L11" s="3"/>
      <c r="M11" s="18" t="s">
        <v>7</v>
      </c>
      <c r="N11" s="132" t="s">
        <v>8</v>
      </c>
      <c r="O11" s="132"/>
    </row>
    <row r="12" spans="2:15">
      <c r="B12" s="3" t="s">
        <v>9</v>
      </c>
      <c r="C12" s="3">
        <v>1</v>
      </c>
      <c r="D12" s="125">
        <v>1307</v>
      </c>
      <c r="E12" s="125"/>
      <c r="G12" s="3" t="s">
        <v>9</v>
      </c>
      <c r="H12" s="3">
        <v>1</v>
      </c>
      <c r="I12" s="125">
        <v>1727</v>
      </c>
      <c r="J12" s="125"/>
      <c r="L12" s="3" t="s">
        <v>9</v>
      </c>
      <c r="M12" s="3">
        <v>1</v>
      </c>
      <c r="N12" s="125">
        <v>2346</v>
      </c>
      <c r="O12" s="125"/>
    </row>
    <row r="13" spans="2:15">
      <c r="B13" s="3" t="s">
        <v>10</v>
      </c>
      <c r="C13" s="36">
        <f>D13/D12</f>
        <v>87817.76511094108</v>
      </c>
      <c r="D13" s="123">
        <f>C8</f>
        <v>114777819</v>
      </c>
      <c r="E13" s="123"/>
      <c r="G13" s="3" t="s">
        <v>10</v>
      </c>
      <c r="H13" s="36">
        <f>I13/I12</f>
        <v>31649.400694846554</v>
      </c>
      <c r="I13" s="123">
        <f>H8</f>
        <v>54658515</v>
      </c>
      <c r="J13" s="123"/>
      <c r="L13" s="3" t="s">
        <v>10</v>
      </c>
      <c r="M13" s="36">
        <f>N13/N12</f>
        <v>14341.185848252344</v>
      </c>
      <c r="N13" s="123">
        <f>M8</f>
        <v>33644422</v>
      </c>
      <c r="O13" s="123"/>
    </row>
    <row r="14" spans="2:15">
      <c r="B14" s="3" t="s">
        <v>11</v>
      </c>
      <c r="C14" s="36">
        <f>D14/D12</f>
        <v>13172.664766641161</v>
      </c>
      <c r="D14" s="123">
        <f>D13*15%</f>
        <v>17216672.849999998</v>
      </c>
      <c r="E14" s="123"/>
      <c r="G14" s="3" t="s">
        <v>11</v>
      </c>
      <c r="H14" s="36">
        <f>I14/I12</f>
        <v>4747.4101042269831</v>
      </c>
      <c r="I14" s="123">
        <f>H9</f>
        <v>8198777.25</v>
      </c>
      <c r="J14" s="123"/>
      <c r="L14" s="3" t="s">
        <v>11</v>
      </c>
      <c r="M14" s="36">
        <f>N14/N12</f>
        <v>2151.1778772378516</v>
      </c>
      <c r="N14" s="123">
        <f>M9</f>
        <v>5046663.3</v>
      </c>
      <c r="O14" s="123"/>
    </row>
    <row r="15" spans="2:15">
      <c r="B15" s="3"/>
      <c r="C15" s="124" t="s">
        <v>12</v>
      </c>
      <c r="D15" s="124"/>
      <c r="E15" s="124"/>
      <c r="G15" s="3"/>
      <c r="H15" s="124" t="s">
        <v>12</v>
      </c>
      <c r="I15" s="124"/>
      <c r="J15" s="124"/>
      <c r="L15" s="3"/>
      <c r="M15" s="124" t="s">
        <v>12</v>
      </c>
      <c r="N15" s="124"/>
      <c r="O15" s="124"/>
    </row>
    <row r="16" spans="2:15">
      <c r="B16" s="3"/>
      <c r="C16" s="69" t="s">
        <v>7</v>
      </c>
      <c r="D16" s="135" t="s">
        <v>13</v>
      </c>
      <c r="E16" s="135"/>
      <c r="G16" s="3"/>
      <c r="H16" s="69" t="s">
        <v>7</v>
      </c>
      <c r="I16" s="135" t="s">
        <v>13</v>
      </c>
      <c r="J16" s="135"/>
      <c r="L16" s="3"/>
      <c r="M16" s="69" t="s">
        <v>7</v>
      </c>
      <c r="N16" s="135" t="s">
        <v>13</v>
      </c>
      <c r="O16" s="135"/>
    </row>
    <row r="17" spans="2:15">
      <c r="B17" s="3" t="s">
        <v>9</v>
      </c>
      <c r="C17" s="3">
        <v>1</v>
      </c>
      <c r="D17" s="123">
        <v>1256000</v>
      </c>
      <c r="E17" s="123"/>
      <c r="G17" s="3" t="s">
        <v>9</v>
      </c>
      <c r="H17" s="3">
        <v>1</v>
      </c>
      <c r="I17" s="123">
        <v>1256000</v>
      </c>
      <c r="J17" s="123"/>
      <c r="L17" s="3" t="s">
        <v>9</v>
      </c>
      <c r="M17" s="3">
        <v>1</v>
      </c>
      <c r="N17" s="123">
        <v>1256000</v>
      </c>
      <c r="O17" s="123"/>
    </row>
    <row r="18" spans="2:15">
      <c r="B18" s="3" t="s">
        <v>10</v>
      </c>
      <c r="C18" s="36">
        <f>C13</f>
        <v>87817.76511094108</v>
      </c>
      <c r="D18" s="123">
        <f>C18*D17</f>
        <v>110299112979.342</v>
      </c>
      <c r="E18" s="123"/>
      <c r="G18" s="3" t="s">
        <v>10</v>
      </c>
      <c r="H18" s="36">
        <f>H13</f>
        <v>31649.400694846554</v>
      </c>
      <c r="I18" s="123">
        <f>H18*I17</f>
        <v>39751647272.727272</v>
      </c>
      <c r="J18" s="123"/>
      <c r="L18" s="3" t="s">
        <v>10</v>
      </c>
      <c r="M18" s="36">
        <f>M13</f>
        <v>14341.185848252344</v>
      </c>
      <c r="N18" s="123">
        <f>M18*N17</f>
        <v>18012529425.404945</v>
      </c>
      <c r="O18" s="123"/>
    </row>
    <row r="19" spans="2:15">
      <c r="B19" s="3" t="s">
        <v>11</v>
      </c>
      <c r="C19" s="5">
        <f>C14</f>
        <v>13172.664766641161</v>
      </c>
      <c r="D19" s="123">
        <f>C19*D17</f>
        <v>16544866946.901299</v>
      </c>
      <c r="E19" s="123"/>
      <c r="G19" s="3" t="s">
        <v>11</v>
      </c>
      <c r="H19" s="5">
        <f>H14</f>
        <v>4747.4101042269831</v>
      </c>
      <c r="I19" s="123">
        <f>H19*I17</f>
        <v>5962747090.909091</v>
      </c>
      <c r="J19" s="123"/>
      <c r="L19" s="3" t="s">
        <v>11</v>
      </c>
      <c r="M19" s="5">
        <f>M14</f>
        <v>2151.1778772378516</v>
      </c>
      <c r="N19" s="123">
        <f>M19*N17</f>
        <v>2701879413.8107414</v>
      </c>
      <c r="O19" s="123"/>
    </row>
    <row r="20" spans="2:15" ht="15.75">
      <c r="B20" s="134" t="s">
        <v>14</v>
      </c>
      <c r="C20" s="134"/>
      <c r="D20" s="134"/>
      <c r="E20" s="134"/>
      <c r="G20" s="134" t="s">
        <v>14</v>
      </c>
      <c r="H20" s="134"/>
      <c r="I20" s="134"/>
      <c r="J20" s="134"/>
      <c r="L20" s="134" t="s">
        <v>14</v>
      </c>
      <c r="M20" s="134"/>
      <c r="N20" s="134"/>
      <c r="O20" s="134"/>
    </row>
    <row r="21" spans="2:15">
      <c r="B21" s="3"/>
      <c r="C21" s="69" t="s">
        <v>15</v>
      </c>
      <c r="D21" s="69" t="s">
        <v>16</v>
      </c>
      <c r="E21" s="69" t="s">
        <v>17</v>
      </c>
      <c r="G21" s="3"/>
      <c r="H21" s="69" t="s">
        <v>15</v>
      </c>
      <c r="I21" s="69" t="s">
        <v>16</v>
      </c>
      <c r="J21" s="69" t="s">
        <v>17</v>
      </c>
      <c r="L21" s="3"/>
      <c r="M21" s="69" t="s">
        <v>15</v>
      </c>
      <c r="N21" s="69" t="s">
        <v>16</v>
      </c>
      <c r="O21" s="69" t="s">
        <v>17</v>
      </c>
    </row>
    <row r="22" spans="2:15">
      <c r="B22" s="3" t="s">
        <v>9</v>
      </c>
      <c r="C22" s="3">
        <v>1</v>
      </c>
      <c r="D22" s="3">
        <v>10</v>
      </c>
      <c r="E22" s="71">
        <v>27000</v>
      </c>
      <c r="G22" s="3" t="s">
        <v>9</v>
      </c>
      <c r="H22" s="3">
        <v>1</v>
      </c>
      <c r="I22" s="3">
        <v>10</v>
      </c>
      <c r="J22" s="71">
        <v>27000</v>
      </c>
      <c r="L22" s="3" t="s">
        <v>9</v>
      </c>
      <c r="M22" s="3">
        <v>1</v>
      </c>
      <c r="N22" s="3">
        <v>10</v>
      </c>
      <c r="O22" s="71">
        <v>27000</v>
      </c>
    </row>
    <row r="23" spans="2:15">
      <c r="B23" s="3" t="s">
        <v>11</v>
      </c>
      <c r="C23" s="72">
        <f>E23/E22</f>
        <v>637.65454999999997</v>
      </c>
      <c r="D23" s="72">
        <f>C23*D22</f>
        <v>6376.5455000000002</v>
      </c>
      <c r="E23" s="5">
        <f>D14</f>
        <v>17216672.849999998</v>
      </c>
      <c r="G23" s="3" t="s">
        <v>11</v>
      </c>
      <c r="H23" s="72">
        <f>J23/J22</f>
        <v>303.65841666666665</v>
      </c>
      <c r="I23" s="72">
        <f>H23*I22</f>
        <v>3036.5841666666665</v>
      </c>
      <c r="J23" s="5">
        <f>I14</f>
        <v>8198777.25</v>
      </c>
      <c r="L23" s="3" t="s">
        <v>11</v>
      </c>
      <c r="M23" s="72">
        <f>O23/O22</f>
        <v>186.91345555555554</v>
      </c>
      <c r="N23" s="72">
        <f>M23*N22</f>
        <v>1869.1345555555554</v>
      </c>
      <c r="O23" s="5">
        <f>N14</f>
        <v>5046663.3</v>
      </c>
    </row>
    <row r="24" spans="2:15">
      <c r="B24" s="3"/>
      <c r="C24" s="124" t="s">
        <v>18</v>
      </c>
      <c r="D24" s="124"/>
      <c r="E24" s="124"/>
      <c r="G24" s="3"/>
      <c r="H24" s="124" t="s">
        <v>18</v>
      </c>
      <c r="I24" s="124"/>
      <c r="J24" s="124"/>
      <c r="L24" s="3"/>
      <c r="M24" s="124" t="s">
        <v>18</v>
      </c>
      <c r="N24" s="124"/>
      <c r="O24" s="124"/>
    </row>
    <row r="25" spans="2:15">
      <c r="B25" s="3"/>
      <c r="C25" s="69" t="s">
        <v>15</v>
      </c>
      <c r="D25" s="135" t="s">
        <v>13</v>
      </c>
      <c r="E25" s="135"/>
      <c r="G25" s="3"/>
      <c r="H25" s="69" t="s">
        <v>15</v>
      </c>
      <c r="I25" s="135" t="s">
        <v>13</v>
      </c>
      <c r="J25" s="135"/>
      <c r="L25" s="3"/>
      <c r="M25" s="69" t="s">
        <v>15</v>
      </c>
      <c r="N25" s="135" t="s">
        <v>13</v>
      </c>
      <c r="O25" s="135"/>
    </row>
    <row r="26" spans="2:15">
      <c r="B26" s="3" t="s">
        <v>9</v>
      </c>
      <c r="C26" s="3">
        <v>1</v>
      </c>
      <c r="D26" s="123">
        <v>150000</v>
      </c>
      <c r="E26" s="123"/>
      <c r="G26" s="3" t="s">
        <v>9</v>
      </c>
      <c r="H26" s="3">
        <v>1</v>
      </c>
      <c r="I26" s="123">
        <v>150000</v>
      </c>
      <c r="J26" s="123"/>
      <c r="L26" s="3" t="s">
        <v>9</v>
      </c>
      <c r="M26" s="3">
        <v>1</v>
      </c>
      <c r="N26" s="123">
        <v>150000</v>
      </c>
      <c r="O26" s="123"/>
    </row>
    <row r="27" spans="2:15">
      <c r="B27" s="3" t="s">
        <v>11</v>
      </c>
      <c r="C27" s="70">
        <f>C23</f>
        <v>637.65454999999997</v>
      </c>
      <c r="D27" s="123">
        <f>C27*D26</f>
        <v>95648182.5</v>
      </c>
      <c r="E27" s="123"/>
      <c r="G27" s="3" t="s">
        <v>11</v>
      </c>
      <c r="H27" s="70">
        <f>H23</f>
        <v>303.65841666666665</v>
      </c>
      <c r="I27" s="123">
        <f>H27*I26</f>
        <v>45548762.5</v>
      </c>
      <c r="J27" s="123"/>
      <c r="L27" s="3" t="s">
        <v>11</v>
      </c>
      <c r="M27" s="70">
        <f>M23</f>
        <v>186.91345555555554</v>
      </c>
      <c r="N27" s="123">
        <f>M27*N26</f>
        <v>28037018.333333332</v>
      </c>
      <c r="O27" s="123"/>
    </row>
    <row r="28" spans="2:15">
      <c r="C28" s="32"/>
      <c r="D28" s="137"/>
      <c r="E28" s="137"/>
      <c r="H28" s="32"/>
      <c r="I28" s="137"/>
      <c r="J28" s="137"/>
      <c r="M28" s="32"/>
      <c r="N28" s="137"/>
      <c r="O28" s="137"/>
    </row>
    <row r="31" spans="2:15">
      <c r="D31" s="21"/>
    </row>
    <row r="32" spans="2:15">
      <c r="D32" s="21"/>
    </row>
    <row r="33" spans="4:16">
      <c r="D33" s="21"/>
    </row>
    <row r="34" spans="4:16">
      <c r="D34" s="22"/>
    </row>
    <row r="35" spans="4:16" ht="18.75">
      <c r="J35" s="136"/>
      <c r="K35" s="136"/>
      <c r="L35" s="136"/>
      <c r="M35" s="136"/>
      <c r="N35" s="136"/>
      <c r="O35" s="136"/>
      <c r="P35" s="136"/>
    </row>
    <row r="36" spans="4:16" ht="15.75">
      <c r="J36" s="24"/>
      <c r="K36" s="24"/>
      <c r="L36" s="138"/>
      <c r="M36" s="138"/>
      <c r="N36" s="138"/>
      <c r="O36" s="138"/>
      <c r="P36" s="138"/>
    </row>
    <row r="37" spans="4:16" ht="15.75">
      <c r="J37" s="23"/>
      <c r="K37" s="23"/>
      <c r="L37" s="25"/>
      <c r="M37" s="25"/>
      <c r="N37" s="25"/>
      <c r="O37" s="25"/>
      <c r="P37" s="25"/>
    </row>
    <row r="38" spans="4:16">
      <c r="J38" s="24"/>
      <c r="K38" s="26"/>
      <c r="L38" s="27"/>
      <c r="M38" s="27"/>
      <c r="N38" s="27"/>
      <c r="O38" s="27"/>
      <c r="P38" s="27"/>
    </row>
    <row r="39" spans="4:16">
      <c r="J39" s="24"/>
      <c r="K39" s="28"/>
      <c r="L39" s="24"/>
      <c r="M39" s="27"/>
      <c r="N39" s="27"/>
      <c r="O39" s="171"/>
      <c r="P39" s="171"/>
    </row>
    <row r="40" spans="4:16">
      <c r="F40" s="1"/>
      <c r="J40" s="24"/>
      <c r="K40" s="26"/>
      <c r="L40" s="27"/>
      <c r="M40" s="27"/>
      <c r="N40" s="27"/>
      <c r="O40" s="27"/>
      <c r="P40" s="27"/>
    </row>
    <row r="41" spans="4:16">
      <c r="J41" s="24"/>
      <c r="K41" s="28"/>
      <c r="L41" s="24"/>
      <c r="M41" s="27"/>
      <c r="N41" s="27"/>
      <c r="O41" s="171"/>
      <c r="P41" s="171"/>
    </row>
    <row r="42" spans="4:16">
      <c r="J42" s="24"/>
      <c r="K42" s="26"/>
      <c r="L42" s="27"/>
      <c r="M42" s="27"/>
      <c r="N42" s="27"/>
      <c r="O42" s="27"/>
      <c r="P42" s="27"/>
    </row>
    <row r="43" spans="4:16">
      <c r="J43" s="24"/>
      <c r="K43" s="28"/>
      <c r="L43" s="24"/>
      <c r="M43" s="27"/>
      <c r="N43" s="27"/>
      <c r="O43" s="172"/>
      <c r="P43" s="172"/>
    </row>
    <row r="44" spans="4:16">
      <c r="J44" s="24"/>
      <c r="K44" s="26"/>
      <c r="L44" s="27"/>
      <c r="M44" s="27"/>
      <c r="N44" s="27"/>
      <c r="O44" s="27"/>
      <c r="P44" s="27"/>
    </row>
    <row r="45" spans="4:16">
      <c r="F45" s="1"/>
      <c r="J45" s="24"/>
      <c r="K45" s="28"/>
      <c r="L45" s="24"/>
      <c r="M45" s="27"/>
      <c r="N45" s="27"/>
      <c r="O45" s="172"/>
      <c r="P45" s="172"/>
    </row>
    <row r="46" spans="4:16">
      <c r="J46" s="24"/>
      <c r="K46" s="26"/>
      <c r="L46" s="27"/>
      <c r="M46" s="27"/>
      <c r="N46" s="27"/>
      <c r="O46" s="27"/>
      <c r="P46" s="27"/>
    </row>
  </sheetData>
  <mergeCells count="70">
    <mergeCell ref="C24:E24"/>
    <mergeCell ref="D25:E25"/>
    <mergeCell ref="D26:E26"/>
    <mergeCell ref="D27:E27"/>
    <mergeCell ref="D28:E28"/>
    <mergeCell ref="I28:J28"/>
    <mergeCell ref="L36:P36"/>
    <mergeCell ref="O39:P39"/>
    <mergeCell ref="M9:N9"/>
    <mergeCell ref="L10:O10"/>
    <mergeCell ref="N11:O11"/>
    <mergeCell ref="N12:O12"/>
    <mergeCell ref="N13:O13"/>
    <mergeCell ref="N14:O14"/>
    <mergeCell ref="M15:O15"/>
    <mergeCell ref="N16:O16"/>
    <mergeCell ref="N17:O17"/>
    <mergeCell ref="N18:O18"/>
    <mergeCell ref="N28:O28"/>
    <mergeCell ref="I18:J18"/>
    <mergeCell ref="I16:J16"/>
    <mergeCell ref="O41:P41"/>
    <mergeCell ref="O43:P43"/>
    <mergeCell ref="O45:P45"/>
    <mergeCell ref="I19:J19"/>
    <mergeCell ref="G20:J20"/>
    <mergeCell ref="L20:O20"/>
    <mergeCell ref="N19:O19"/>
    <mergeCell ref="J35:P35"/>
    <mergeCell ref="H24:J24"/>
    <mergeCell ref="I25:J25"/>
    <mergeCell ref="I26:J26"/>
    <mergeCell ref="I27:J27"/>
    <mergeCell ref="M24:O24"/>
    <mergeCell ref="N25:O25"/>
    <mergeCell ref="N26:O26"/>
    <mergeCell ref="N27:O27"/>
    <mergeCell ref="D17:E17"/>
    <mergeCell ref="D18:E18"/>
    <mergeCell ref="D19:E19"/>
    <mergeCell ref="B20:E20"/>
    <mergeCell ref="D11:E11"/>
    <mergeCell ref="D12:E12"/>
    <mergeCell ref="D13:E13"/>
    <mergeCell ref="D14:E14"/>
    <mergeCell ref="C15:E15"/>
    <mergeCell ref="D16:E16"/>
    <mergeCell ref="B5:E5"/>
    <mergeCell ref="C7:D7"/>
    <mergeCell ref="C8:D8"/>
    <mergeCell ref="C9:D9"/>
    <mergeCell ref="B10:E10"/>
    <mergeCell ref="D6:E6"/>
    <mergeCell ref="B6:C6"/>
    <mergeCell ref="I17:J17"/>
    <mergeCell ref="M7:N7"/>
    <mergeCell ref="M8:N8"/>
    <mergeCell ref="L6:N6"/>
    <mergeCell ref="G5:J5"/>
    <mergeCell ref="G6:I6"/>
    <mergeCell ref="L5:O5"/>
    <mergeCell ref="H7:I7"/>
    <mergeCell ref="H8:I8"/>
    <mergeCell ref="H9:I9"/>
    <mergeCell ref="H15:J15"/>
    <mergeCell ref="G10:J10"/>
    <mergeCell ref="I11:J11"/>
    <mergeCell ref="I12:J12"/>
    <mergeCell ref="I13:J13"/>
    <mergeCell ref="I14:J14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62"/>
  <sheetViews>
    <sheetView topLeftCell="A19" workbookViewId="0">
      <selection activeCell="E20" sqref="E20"/>
    </sheetView>
  </sheetViews>
  <sheetFormatPr defaultRowHeight="15"/>
  <cols>
    <col min="2" max="2" width="32.28515625" bestFit="1" customWidth="1"/>
    <col min="3" max="3" width="19.85546875" bestFit="1" customWidth="1"/>
    <col min="4" max="5" width="22" bestFit="1" customWidth="1"/>
    <col min="6" max="6" width="22.28515625" bestFit="1" customWidth="1"/>
    <col min="7" max="7" width="9.7109375" customWidth="1"/>
    <col min="8" max="8" width="32.28515625" bestFit="1" customWidth="1"/>
    <col min="9" max="9" width="20.42578125" bestFit="1" customWidth="1"/>
    <col min="10" max="11" width="22" bestFit="1" customWidth="1"/>
    <col min="12" max="12" width="22.28515625" bestFit="1" customWidth="1"/>
    <col min="14" max="14" width="32.28515625" bestFit="1" customWidth="1"/>
    <col min="15" max="15" width="20.42578125" bestFit="1" customWidth="1"/>
    <col min="16" max="17" width="22" bestFit="1" customWidth="1"/>
    <col min="18" max="18" width="22.28515625" bestFit="1" customWidth="1"/>
  </cols>
  <sheetData>
    <row r="2" spans="2:18" ht="24">
      <c r="B2" s="153" t="s">
        <v>114</v>
      </c>
      <c r="C2" s="153"/>
      <c r="D2" s="153"/>
      <c r="E2" s="153"/>
      <c r="F2" s="153"/>
      <c r="G2" s="153"/>
      <c r="H2" s="153"/>
      <c r="I2" s="153"/>
      <c r="J2" s="153"/>
    </row>
    <row r="3" spans="2:18" ht="18.75">
      <c r="C3" s="154" t="s">
        <v>115</v>
      </c>
      <c r="D3" s="154"/>
      <c r="E3" s="154"/>
      <c r="F3" s="154"/>
      <c r="G3" s="154"/>
      <c r="H3" s="154"/>
      <c r="I3" s="154"/>
    </row>
    <row r="4" spans="2:18" ht="18.75">
      <c r="C4" s="154" t="s">
        <v>116</v>
      </c>
      <c r="D4" s="154"/>
      <c r="E4" s="154"/>
      <c r="F4" s="154"/>
      <c r="G4" s="154"/>
      <c r="H4" s="154"/>
      <c r="I4" s="154"/>
    </row>
    <row r="7" spans="2:18">
      <c r="B7" s="51" t="s">
        <v>1</v>
      </c>
      <c r="C7" s="51" t="s">
        <v>117</v>
      </c>
      <c r="D7" s="52" t="s">
        <v>118</v>
      </c>
      <c r="E7" s="52" t="s">
        <v>119</v>
      </c>
      <c r="F7" s="52" t="s">
        <v>120</v>
      </c>
      <c r="H7" s="51" t="s">
        <v>2</v>
      </c>
      <c r="I7" s="51" t="s">
        <v>117</v>
      </c>
      <c r="J7" s="52" t="s">
        <v>118</v>
      </c>
      <c r="K7" s="52" t="s">
        <v>119</v>
      </c>
      <c r="L7" s="52" t="s">
        <v>120</v>
      </c>
      <c r="N7" s="51" t="s">
        <v>3</v>
      </c>
      <c r="O7" s="51" t="s">
        <v>117</v>
      </c>
      <c r="P7" s="52" t="s">
        <v>118</v>
      </c>
      <c r="Q7" s="52" t="s">
        <v>119</v>
      </c>
      <c r="R7" s="52" t="s">
        <v>120</v>
      </c>
    </row>
    <row r="8" spans="2:18">
      <c r="B8" s="76" t="s">
        <v>121</v>
      </c>
      <c r="C8" s="77">
        <f>D24+D32+D39+C46+D46+C53+D53+C60+D60</f>
        <v>1747000</v>
      </c>
      <c r="D8" s="77">
        <f>E39+E46+E53+E60</f>
        <v>230077.47999999998</v>
      </c>
      <c r="E8" s="74">
        <f>D26+D34+D41+C48+D48+C55+D55+C62+D62</f>
        <v>17651663290</v>
      </c>
      <c r="F8" s="75">
        <f>E41+E48+E55+E62</f>
        <v>723487001.20840001</v>
      </c>
      <c r="H8" s="3" t="s">
        <v>121</v>
      </c>
      <c r="I8" s="77">
        <f>J24+J32+J39+I46+J46+I53+J53+I60+J60</f>
        <v>1747000</v>
      </c>
      <c r="J8" s="77">
        <f>K39+K46+K53+K60</f>
        <v>230077.47999999998</v>
      </c>
      <c r="K8" s="74">
        <f>J26+J34+J41+I48+J48+I55+J55+I62+J62</f>
        <v>6452623420</v>
      </c>
      <c r="L8" s="75">
        <f>K41+K48+K55+K62</f>
        <v>319241437.6904</v>
      </c>
      <c r="N8" s="3" t="s">
        <v>121</v>
      </c>
      <c r="O8" s="77">
        <f>P24+P32+P39+O46+P46+O53+P53+O60+P60</f>
        <v>1747000</v>
      </c>
      <c r="P8" s="77">
        <f>Q39+Q46+Q53+Q60</f>
        <v>230077.47999999998</v>
      </c>
      <c r="Q8" s="74">
        <f>P26+P34+P41+O48+P48+O55+P55+O62+P62</f>
        <v>2939301510</v>
      </c>
      <c r="R8" s="75">
        <f>Q41+Q48+Q55+Q62</f>
        <v>153636691.208</v>
      </c>
    </row>
    <row r="9" spans="2:18">
      <c r="B9" s="76" t="s">
        <v>122</v>
      </c>
      <c r="C9" s="80">
        <f>C8+D8</f>
        <v>1977077.48</v>
      </c>
      <c r="H9" s="76" t="s">
        <v>122</v>
      </c>
      <c r="I9" s="80">
        <f>I8+J8</f>
        <v>1977077.48</v>
      </c>
      <c r="N9" s="76" t="s">
        <v>122</v>
      </c>
      <c r="O9" s="80">
        <f>O8+P8</f>
        <v>1977077.48</v>
      </c>
    </row>
    <row r="11" spans="2:18">
      <c r="C11" s="55"/>
      <c r="I11" s="54"/>
      <c r="O11" s="55"/>
    </row>
    <row r="12" spans="2:18">
      <c r="B12" s="163" t="s">
        <v>58</v>
      </c>
      <c r="C12" s="163"/>
      <c r="D12" s="163"/>
      <c r="E12" s="163"/>
      <c r="F12" s="79"/>
      <c r="H12" s="163" t="s">
        <v>59</v>
      </c>
      <c r="I12" s="163"/>
      <c r="J12" s="163"/>
      <c r="K12" s="163"/>
      <c r="L12" s="79"/>
      <c r="N12" s="163" t="s">
        <v>123</v>
      </c>
      <c r="O12" s="163"/>
      <c r="P12" s="163"/>
      <c r="Q12" s="163"/>
    </row>
    <row r="13" spans="2:18">
      <c r="B13" s="3" t="s">
        <v>124</v>
      </c>
      <c r="C13" s="3" t="s">
        <v>125</v>
      </c>
      <c r="D13" s="3" t="s">
        <v>126</v>
      </c>
      <c r="E13" s="3" t="s">
        <v>127</v>
      </c>
      <c r="H13" s="3" t="s">
        <v>124</v>
      </c>
      <c r="I13" s="3" t="s">
        <v>125</v>
      </c>
      <c r="J13" s="3" t="s">
        <v>126</v>
      </c>
      <c r="K13" s="3" t="s">
        <v>127</v>
      </c>
      <c r="N13" s="3" t="s">
        <v>124</v>
      </c>
      <c r="O13" s="3" t="s">
        <v>125</v>
      </c>
      <c r="P13" s="3" t="s">
        <v>126</v>
      </c>
      <c r="Q13" s="3" t="s">
        <v>127</v>
      </c>
    </row>
    <row r="14" spans="2:18">
      <c r="B14" s="3" t="s">
        <v>7</v>
      </c>
      <c r="C14" s="4">
        <v>13172.66</v>
      </c>
      <c r="D14" s="4">
        <v>1</v>
      </c>
      <c r="E14" s="5">
        <f>C14-D14</f>
        <v>13171.66</v>
      </c>
      <c r="F14" s="2"/>
      <c r="H14" s="3" t="s">
        <v>7</v>
      </c>
      <c r="I14" s="4">
        <v>4747.41</v>
      </c>
      <c r="J14" s="4">
        <v>1</v>
      </c>
      <c r="K14" s="5">
        <f>I14-J14</f>
        <v>4746.41</v>
      </c>
      <c r="L14" s="2"/>
      <c r="N14" s="3" t="s">
        <v>7</v>
      </c>
      <c r="O14" s="4">
        <v>2151.1799999999998</v>
      </c>
      <c r="P14" s="4">
        <v>1</v>
      </c>
      <c r="Q14" s="5">
        <f>O14-P14</f>
        <v>2150.1799999999998</v>
      </c>
    </row>
    <row r="15" spans="2:18">
      <c r="B15" s="3" t="s">
        <v>128</v>
      </c>
      <c r="C15" s="3">
        <v>638</v>
      </c>
      <c r="D15" s="4">
        <v>1</v>
      </c>
      <c r="E15" s="5">
        <f t="shared" ref="E15:E19" si="0">C15-D15</f>
        <v>637</v>
      </c>
      <c r="F15" s="2"/>
      <c r="H15" s="3" t="s">
        <v>128</v>
      </c>
      <c r="I15" s="3">
        <v>304</v>
      </c>
      <c r="J15" s="4">
        <v>1</v>
      </c>
      <c r="K15" s="5">
        <f t="shared" ref="K15:K19" si="1">I15-J15</f>
        <v>303</v>
      </c>
      <c r="L15" s="2"/>
      <c r="N15" s="3" t="s">
        <v>128</v>
      </c>
      <c r="O15" s="3">
        <v>187</v>
      </c>
      <c r="P15" s="4">
        <v>1</v>
      </c>
      <c r="Q15" s="5">
        <f t="shared" ref="Q15:Q19" si="2">O15-P15</f>
        <v>186</v>
      </c>
    </row>
    <row r="16" spans="2:18">
      <c r="B16" s="3" t="s">
        <v>129</v>
      </c>
      <c r="C16" s="3">
        <v>344.33</v>
      </c>
      <c r="D16" s="4">
        <v>1</v>
      </c>
      <c r="E16" s="5">
        <f t="shared" si="0"/>
        <v>343.33</v>
      </c>
      <c r="F16" s="2"/>
      <c r="H16" s="3" t="s">
        <v>129</v>
      </c>
      <c r="I16" s="3">
        <v>163.98</v>
      </c>
      <c r="J16" s="4">
        <v>1</v>
      </c>
      <c r="K16" s="5">
        <f t="shared" si="1"/>
        <v>162.97999999999999</v>
      </c>
      <c r="L16" s="2"/>
      <c r="N16" s="3" t="s">
        <v>129</v>
      </c>
      <c r="O16" s="3">
        <v>15.6</v>
      </c>
      <c r="P16" s="4">
        <v>1</v>
      </c>
      <c r="Q16" s="5">
        <f t="shared" si="2"/>
        <v>14.6</v>
      </c>
    </row>
    <row r="17" spans="2:17">
      <c r="B17" s="3" t="s">
        <v>21</v>
      </c>
      <c r="C17" s="97">
        <v>3443.33</v>
      </c>
      <c r="D17" s="4">
        <v>1</v>
      </c>
      <c r="E17" s="5">
        <f t="shared" si="0"/>
        <v>3442.33</v>
      </c>
      <c r="F17" s="2"/>
      <c r="H17" s="3" t="s">
        <v>21</v>
      </c>
      <c r="I17" s="97">
        <v>1639.76</v>
      </c>
      <c r="J17" s="4">
        <v>1</v>
      </c>
      <c r="K17" s="5">
        <f t="shared" si="1"/>
        <v>1638.76</v>
      </c>
      <c r="L17" s="2"/>
      <c r="N17" s="3" t="s">
        <v>21</v>
      </c>
      <c r="O17" s="97">
        <v>1009.33</v>
      </c>
      <c r="P17" s="4">
        <v>1</v>
      </c>
      <c r="Q17" s="5">
        <f t="shared" si="2"/>
        <v>1008.33</v>
      </c>
    </row>
    <row r="18" spans="2:17">
      <c r="B18" s="3" t="s">
        <v>61</v>
      </c>
      <c r="C18" s="97">
        <v>3443.33</v>
      </c>
      <c r="D18" s="4">
        <v>1</v>
      </c>
      <c r="E18" s="5">
        <f t="shared" si="0"/>
        <v>3442.33</v>
      </c>
      <c r="F18" s="2"/>
      <c r="H18" s="3" t="s">
        <v>61</v>
      </c>
      <c r="I18" s="4">
        <v>1639.76</v>
      </c>
      <c r="J18" s="4">
        <v>1</v>
      </c>
      <c r="K18" s="5">
        <f t="shared" si="1"/>
        <v>1638.76</v>
      </c>
      <c r="L18" s="2"/>
      <c r="N18" s="3" t="s">
        <v>61</v>
      </c>
      <c r="O18" s="4">
        <v>1009.33</v>
      </c>
      <c r="P18" s="4">
        <v>1</v>
      </c>
      <c r="Q18" s="5">
        <f t="shared" si="2"/>
        <v>1008.33</v>
      </c>
    </row>
    <row r="19" spans="2:17">
      <c r="B19" s="3" t="s">
        <v>130</v>
      </c>
      <c r="C19" s="96">
        <v>2634.53</v>
      </c>
      <c r="D19" s="4">
        <v>1</v>
      </c>
      <c r="E19" s="5">
        <f t="shared" si="0"/>
        <v>2633.53</v>
      </c>
      <c r="F19" s="2"/>
      <c r="H19" s="3" t="s">
        <v>130</v>
      </c>
      <c r="I19" s="3">
        <v>949.48</v>
      </c>
      <c r="J19" s="4">
        <v>1</v>
      </c>
      <c r="K19" s="5">
        <f t="shared" si="1"/>
        <v>948.48</v>
      </c>
      <c r="L19" s="2"/>
      <c r="N19" s="3" t="s">
        <v>130</v>
      </c>
      <c r="O19" s="3">
        <v>66.5</v>
      </c>
      <c r="P19" s="4">
        <v>1</v>
      </c>
      <c r="Q19" s="5">
        <f t="shared" si="2"/>
        <v>65.5</v>
      </c>
    </row>
    <row r="20" spans="2:17">
      <c r="D20" s="1"/>
    </row>
    <row r="21" spans="2:17">
      <c r="B21" s="158" t="s">
        <v>131</v>
      </c>
      <c r="C21" s="159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</row>
    <row r="22" spans="2:17">
      <c r="B22" s="160" t="s">
        <v>132</v>
      </c>
      <c r="C22" s="161"/>
      <c r="D22" s="161"/>
      <c r="E22" s="161"/>
      <c r="F22" s="67"/>
      <c r="H22" s="160" t="s">
        <v>133</v>
      </c>
      <c r="I22" s="161"/>
      <c r="J22" s="161"/>
      <c r="K22" s="161"/>
      <c r="L22" s="67"/>
      <c r="N22" s="160" t="s">
        <v>134</v>
      </c>
      <c r="O22" s="161"/>
      <c r="P22" s="161"/>
      <c r="Q22" s="161"/>
    </row>
    <row r="23" spans="2:17">
      <c r="B23" s="15"/>
      <c r="C23" s="17" t="s">
        <v>7</v>
      </c>
      <c r="D23" s="162" t="s">
        <v>85</v>
      </c>
      <c r="E23" s="162"/>
      <c r="F23" s="67"/>
      <c r="H23" s="15"/>
      <c r="I23" s="17" t="s">
        <v>7</v>
      </c>
      <c r="J23" s="162" t="s">
        <v>85</v>
      </c>
      <c r="K23" s="162"/>
      <c r="L23" s="67"/>
      <c r="N23" s="15"/>
      <c r="O23" s="17" t="s">
        <v>7</v>
      </c>
      <c r="P23" s="162" t="s">
        <v>85</v>
      </c>
      <c r="Q23" s="162"/>
    </row>
    <row r="24" spans="2:17">
      <c r="B24" s="3" t="s">
        <v>117</v>
      </c>
      <c r="C24" s="3">
        <v>1</v>
      </c>
      <c r="D24" s="149">
        <v>1256000</v>
      </c>
      <c r="E24" s="149"/>
      <c r="F24" s="56"/>
      <c r="H24" s="3" t="s">
        <v>117</v>
      </c>
      <c r="I24" s="3">
        <v>1</v>
      </c>
      <c r="J24" s="149">
        <v>1256000</v>
      </c>
      <c r="K24" s="149"/>
      <c r="L24" s="56"/>
      <c r="N24" s="3" t="s">
        <v>117</v>
      </c>
      <c r="O24" s="3">
        <v>1</v>
      </c>
      <c r="P24" s="149">
        <v>1256000</v>
      </c>
      <c r="Q24" s="149"/>
    </row>
    <row r="25" spans="2:17">
      <c r="B25" s="3" t="s">
        <v>135</v>
      </c>
      <c r="C25" s="5">
        <f>C14</f>
        <v>13172.66</v>
      </c>
      <c r="D25" s="149">
        <f>C25*D24</f>
        <v>16544860960</v>
      </c>
      <c r="E25" s="149"/>
      <c r="F25" s="56"/>
      <c r="H25" s="3" t="s">
        <v>136</v>
      </c>
      <c r="I25" s="5">
        <f>I14</f>
        <v>4747.41</v>
      </c>
      <c r="J25" s="149">
        <f>I25*J24</f>
        <v>5962746960</v>
      </c>
      <c r="K25" s="149"/>
      <c r="L25" s="56"/>
      <c r="N25" s="3" t="s">
        <v>135</v>
      </c>
      <c r="O25" s="5">
        <f>O14</f>
        <v>2151.1799999999998</v>
      </c>
      <c r="P25" s="149">
        <f>O25*P24</f>
        <v>2701882080</v>
      </c>
      <c r="Q25" s="149"/>
    </row>
    <row r="26" spans="2:17">
      <c r="B26" s="3" t="s">
        <v>137</v>
      </c>
      <c r="C26" s="5">
        <f>C25-C24</f>
        <v>13171.66</v>
      </c>
      <c r="D26" s="149">
        <f>C26*D24</f>
        <v>16543604960</v>
      </c>
      <c r="E26" s="149"/>
      <c r="F26" s="56"/>
      <c r="H26" s="3" t="s">
        <v>137</v>
      </c>
      <c r="I26" s="5">
        <f>I25-I24</f>
        <v>4746.41</v>
      </c>
      <c r="J26" s="149">
        <f>I26*J24</f>
        <v>5961490960</v>
      </c>
      <c r="K26" s="149"/>
      <c r="L26" s="56"/>
      <c r="N26" s="3" t="s">
        <v>137</v>
      </c>
      <c r="O26" s="5">
        <f>O25-O24</f>
        <v>2150.1799999999998</v>
      </c>
      <c r="P26" s="149">
        <f>O26*P24</f>
        <v>2700626080</v>
      </c>
      <c r="Q26" s="149"/>
    </row>
    <row r="28" spans="2:17">
      <c r="B28" s="158" t="s">
        <v>138</v>
      </c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</row>
    <row r="29" spans="2:17">
      <c r="B29" s="163" t="s">
        <v>139</v>
      </c>
      <c r="C29" s="155"/>
      <c r="D29" s="155"/>
      <c r="E29" s="155"/>
      <c r="F29" s="67"/>
      <c r="H29" s="163" t="s">
        <v>140</v>
      </c>
      <c r="I29" s="155"/>
      <c r="J29" s="155"/>
      <c r="K29" s="155"/>
      <c r="L29" s="67"/>
      <c r="N29" s="163" t="s">
        <v>141</v>
      </c>
      <c r="O29" s="155"/>
      <c r="P29" s="155"/>
      <c r="Q29" s="155"/>
    </row>
    <row r="30" spans="2:17">
      <c r="B30" s="155" t="s">
        <v>13</v>
      </c>
      <c r="C30" s="155"/>
      <c r="D30" s="155"/>
      <c r="E30" s="155"/>
      <c r="F30" s="67"/>
      <c r="H30" s="155" t="s">
        <v>13</v>
      </c>
      <c r="I30" s="155"/>
      <c r="J30" s="155"/>
      <c r="K30" s="155"/>
      <c r="L30" s="67"/>
      <c r="N30" s="155" t="s">
        <v>13</v>
      </c>
      <c r="O30" s="155"/>
      <c r="P30" s="155"/>
      <c r="Q30" s="155"/>
    </row>
    <row r="31" spans="2:17">
      <c r="B31" s="14"/>
      <c r="C31" s="17" t="s">
        <v>15</v>
      </c>
      <c r="D31" s="162" t="s">
        <v>85</v>
      </c>
      <c r="E31" s="162"/>
      <c r="F31" s="67"/>
      <c r="H31" s="14"/>
      <c r="I31" s="17" t="s">
        <v>15</v>
      </c>
      <c r="J31" s="162" t="s">
        <v>85</v>
      </c>
      <c r="K31" s="162"/>
      <c r="L31" s="67"/>
      <c r="N31" s="14"/>
      <c r="O31" s="17" t="s">
        <v>15</v>
      </c>
      <c r="P31" s="162" t="s">
        <v>85</v>
      </c>
      <c r="Q31" s="162"/>
    </row>
    <row r="32" spans="2:17">
      <c r="B32" s="3" t="s">
        <v>117</v>
      </c>
      <c r="C32" s="3">
        <v>1</v>
      </c>
      <c r="D32" s="149">
        <v>150000</v>
      </c>
      <c r="E32" s="149"/>
      <c r="F32" s="56"/>
      <c r="H32" s="3" t="s">
        <v>117</v>
      </c>
      <c r="I32" s="3">
        <v>1</v>
      </c>
      <c r="J32" s="149">
        <v>150000</v>
      </c>
      <c r="K32" s="149"/>
      <c r="L32" s="56"/>
      <c r="N32" s="3" t="s">
        <v>117</v>
      </c>
      <c r="O32" s="3">
        <v>1</v>
      </c>
      <c r="P32" s="149">
        <v>150000</v>
      </c>
      <c r="Q32" s="149"/>
    </row>
    <row r="33" spans="2:17">
      <c r="B33" s="3" t="s">
        <v>135</v>
      </c>
      <c r="C33" s="5">
        <f>C15</f>
        <v>638</v>
      </c>
      <c r="D33" s="149">
        <f>C33*D32</f>
        <v>95700000</v>
      </c>
      <c r="E33" s="149"/>
      <c r="F33" s="56"/>
      <c r="H33" s="3" t="s">
        <v>135</v>
      </c>
      <c r="I33" s="5">
        <f>I15</f>
        <v>304</v>
      </c>
      <c r="J33" s="149">
        <f>I33*J32</f>
        <v>45600000</v>
      </c>
      <c r="K33" s="149"/>
      <c r="L33" s="56"/>
      <c r="N33" s="3" t="s">
        <v>135</v>
      </c>
      <c r="O33" s="5">
        <f>O15</f>
        <v>187</v>
      </c>
      <c r="P33" s="149">
        <f>O33*P32</f>
        <v>28050000</v>
      </c>
      <c r="Q33" s="149"/>
    </row>
    <row r="34" spans="2:17">
      <c r="B34" s="3" t="s">
        <v>142</v>
      </c>
      <c r="C34" s="5">
        <f>C33-C32</f>
        <v>637</v>
      </c>
      <c r="D34" s="149">
        <f>C34*D32</f>
        <v>95550000</v>
      </c>
      <c r="E34" s="149"/>
      <c r="F34" s="56"/>
      <c r="H34" s="3" t="s">
        <v>142</v>
      </c>
      <c r="I34" s="5">
        <f>I33-I32</f>
        <v>303</v>
      </c>
      <c r="J34" s="149">
        <f>I34*J32</f>
        <v>45450000</v>
      </c>
      <c r="K34" s="149"/>
      <c r="L34" s="56"/>
      <c r="N34" s="3" t="s">
        <v>142</v>
      </c>
      <c r="O34" s="5">
        <f>O33-O32</f>
        <v>186</v>
      </c>
      <c r="P34" s="149">
        <f>O34*P32</f>
        <v>27900000</v>
      </c>
      <c r="Q34" s="149"/>
    </row>
    <row r="35" spans="2:17">
      <c r="C35" s="2"/>
      <c r="D35" s="56"/>
      <c r="E35" s="56"/>
      <c r="F35" s="56"/>
      <c r="I35" s="2"/>
      <c r="J35" s="56"/>
      <c r="K35" s="56"/>
      <c r="L35" s="56"/>
      <c r="O35" s="2"/>
      <c r="P35" s="56"/>
      <c r="Q35" s="56"/>
    </row>
    <row r="36" spans="2:17">
      <c r="B36" s="158" t="s">
        <v>143</v>
      </c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</row>
    <row r="37" spans="2:17">
      <c r="B37" s="160" t="s">
        <v>144</v>
      </c>
      <c r="C37" s="161"/>
      <c r="D37" s="161"/>
      <c r="E37" s="161"/>
      <c r="F37" s="67"/>
      <c r="H37" s="160" t="s">
        <v>145</v>
      </c>
      <c r="I37" s="161"/>
      <c r="J37" s="161"/>
      <c r="K37" s="161"/>
      <c r="L37" s="67"/>
      <c r="N37" s="160" t="s">
        <v>146</v>
      </c>
      <c r="O37" s="161"/>
      <c r="P37" s="161"/>
      <c r="Q37" s="161"/>
    </row>
    <row r="38" spans="2:17">
      <c r="B38" s="16"/>
      <c r="C38" s="16" t="s">
        <v>28</v>
      </c>
      <c r="D38" s="16" t="s">
        <v>29</v>
      </c>
      <c r="E38" s="16" t="s">
        <v>30</v>
      </c>
      <c r="F38" s="68"/>
      <c r="H38" s="16"/>
      <c r="I38" s="16" t="s">
        <v>28</v>
      </c>
      <c r="J38" s="16" t="s">
        <v>29</v>
      </c>
      <c r="K38" s="16" t="s">
        <v>30</v>
      </c>
      <c r="L38" s="68"/>
      <c r="N38" s="16"/>
      <c r="O38" s="16" t="s">
        <v>28</v>
      </c>
      <c r="P38" s="16" t="s">
        <v>29</v>
      </c>
      <c r="Q38" s="16" t="s">
        <v>30</v>
      </c>
    </row>
    <row r="39" spans="2:17">
      <c r="B39" s="3" t="s">
        <v>117</v>
      </c>
      <c r="C39" s="3">
        <v>1</v>
      </c>
      <c r="D39" s="9">
        <v>21000</v>
      </c>
      <c r="E39" s="9">
        <v>577.48</v>
      </c>
      <c r="F39" s="57"/>
      <c r="H39" s="3" t="s">
        <v>117</v>
      </c>
      <c r="I39" s="3">
        <v>1</v>
      </c>
      <c r="J39" s="9">
        <v>21000</v>
      </c>
      <c r="K39" s="9">
        <v>577.48</v>
      </c>
      <c r="L39" s="57"/>
      <c r="N39" s="3" t="s">
        <v>117</v>
      </c>
      <c r="O39" s="3">
        <v>1</v>
      </c>
      <c r="P39" s="9">
        <v>21000</v>
      </c>
      <c r="Q39" s="9">
        <v>577.48</v>
      </c>
    </row>
    <row r="40" spans="2:17">
      <c r="B40" s="3" t="s">
        <v>135</v>
      </c>
      <c r="C40" s="5">
        <f>C16</f>
        <v>344.33</v>
      </c>
      <c r="D40" s="9">
        <f>C40*D39</f>
        <v>7230930</v>
      </c>
      <c r="E40" s="9">
        <f>C40*E39</f>
        <v>198843.68839999998</v>
      </c>
      <c r="F40" s="57"/>
      <c r="H40" s="3" t="s">
        <v>135</v>
      </c>
      <c r="I40" s="5">
        <f>I16</f>
        <v>163.98</v>
      </c>
      <c r="J40" s="9">
        <f>I40*J39</f>
        <v>3443580</v>
      </c>
      <c r="K40" s="9">
        <f>I40*K39</f>
        <v>94695.170400000003</v>
      </c>
      <c r="L40" s="57"/>
      <c r="N40" s="3" t="s">
        <v>135</v>
      </c>
      <c r="O40" s="5">
        <f>O16</f>
        <v>15.6</v>
      </c>
      <c r="P40" s="9">
        <f>O40*P39</f>
        <v>327600</v>
      </c>
      <c r="Q40" s="9">
        <f>O40*Q39</f>
        <v>9008.6880000000001</v>
      </c>
    </row>
    <row r="41" spans="2:17">
      <c r="B41" s="3" t="s">
        <v>147</v>
      </c>
      <c r="C41" s="5">
        <f>C40-C39</f>
        <v>343.33</v>
      </c>
      <c r="D41" s="9">
        <f>C41*D39</f>
        <v>7209930</v>
      </c>
      <c r="E41" s="9">
        <f>C41*E39</f>
        <v>198266.2084</v>
      </c>
      <c r="F41" s="57"/>
      <c r="H41" s="3" t="s">
        <v>147</v>
      </c>
      <c r="I41" s="5">
        <f>I40-I39</f>
        <v>162.97999999999999</v>
      </c>
      <c r="J41" s="9">
        <f>I41*J39</f>
        <v>3422580</v>
      </c>
      <c r="K41" s="9">
        <f>I41*K39</f>
        <v>94117.690399999992</v>
      </c>
      <c r="L41" s="57"/>
      <c r="N41" s="3" t="s">
        <v>147</v>
      </c>
      <c r="O41" s="5">
        <f>O40-O39</f>
        <v>14.6</v>
      </c>
      <c r="P41" s="9">
        <f>O41*P39</f>
        <v>306600</v>
      </c>
      <c r="Q41" s="9">
        <f>O41*Q39</f>
        <v>8431.2080000000005</v>
      </c>
    </row>
    <row r="42" spans="2:17">
      <c r="C42" s="2"/>
      <c r="D42" s="57"/>
      <c r="E42" s="57"/>
      <c r="F42" s="57"/>
      <c r="I42" s="2"/>
      <c r="J42" s="57"/>
      <c r="K42" s="57"/>
      <c r="L42" s="57"/>
      <c r="O42" s="2"/>
      <c r="P42" s="57"/>
      <c r="Q42" s="57"/>
    </row>
    <row r="43" spans="2:17">
      <c r="B43" s="156" t="s">
        <v>148</v>
      </c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</row>
    <row r="44" spans="2:17">
      <c r="B44" s="155" t="s">
        <v>149</v>
      </c>
      <c r="C44" s="155"/>
      <c r="D44" s="155"/>
      <c r="E44" s="155"/>
      <c r="F44" s="67"/>
      <c r="H44" s="155" t="s">
        <v>150</v>
      </c>
      <c r="I44" s="155"/>
      <c r="J44" s="155"/>
      <c r="K44" s="155"/>
      <c r="L44" s="67"/>
      <c r="N44" s="155" t="s">
        <v>151</v>
      </c>
      <c r="O44" s="155"/>
      <c r="P44" s="155"/>
      <c r="Q44" s="155"/>
    </row>
    <row r="45" spans="2:17">
      <c r="B45" s="16"/>
      <c r="C45" s="16" t="s">
        <v>32</v>
      </c>
      <c r="D45" s="16" t="s">
        <v>33</v>
      </c>
      <c r="E45" s="16" t="s">
        <v>34</v>
      </c>
      <c r="F45" s="68"/>
      <c r="H45" s="16"/>
      <c r="I45" s="16" t="s">
        <v>32</v>
      </c>
      <c r="J45" s="16" t="s">
        <v>33</v>
      </c>
      <c r="K45" s="16" t="s">
        <v>34</v>
      </c>
      <c r="L45" s="68"/>
      <c r="N45" s="16"/>
      <c r="O45" s="16" t="s">
        <v>32</v>
      </c>
      <c r="P45" s="16" t="s">
        <v>33</v>
      </c>
      <c r="Q45" s="16" t="s">
        <v>34</v>
      </c>
    </row>
    <row r="46" spans="2:17">
      <c r="B46" s="3" t="s">
        <v>9</v>
      </c>
      <c r="C46" s="9">
        <v>15000</v>
      </c>
      <c r="D46" s="9">
        <v>80000</v>
      </c>
      <c r="E46" s="9">
        <v>68500</v>
      </c>
      <c r="F46" s="57"/>
      <c r="H46" s="3" t="s">
        <v>9</v>
      </c>
      <c r="I46" s="9">
        <v>15000</v>
      </c>
      <c r="J46" s="9">
        <v>80000</v>
      </c>
      <c r="K46" s="9">
        <v>68500</v>
      </c>
      <c r="L46" s="57"/>
      <c r="N46" s="3" t="s">
        <v>9</v>
      </c>
      <c r="O46" s="9">
        <v>15000</v>
      </c>
      <c r="P46" s="9">
        <v>80000</v>
      </c>
      <c r="Q46" s="9">
        <v>68500</v>
      </c>
    </row>
    <row r="47" spans="2:17">
      <c r="B47" s="3" t="s">
        <v>135</v>
      </c>
      <c r="C47" s="9">
        <f>C17*C46</f>
        <v>51649950</v>
      </c>
      <c r="D47" s="9">
        <f>C17*D46</f>
        <v>275466400</v>
      </c>
      <c r="E47" s="9">
        <f>C17*E46</f>
        <v>235868105</v>
      </c>
      <c r="F47" s="57"/>
      <c r="H47" s="3" t="s">
        <v>135</v>
      </c>
      <c r="I47" s="9">
        <f>I17*I46</f>
        <v>24596400</v>
      </c>
      <c r="J47" s="9">
        <f>I17*J46</f>
        <v>131180800</v>
      </c>
      <c r="K47" s="9">
        <f>I17*K46</f>
        <v>112323560</v>
      </c>
      <c r="L47" s="57"/>
      <c r="N47" s="3" t="s">
        <v>135</v>
      </c>
      <c r="O47" s="9">
        <f>O17*O46</f>
        <v>15139950</v>
      </c>
      <c r="P47" s="9">
        <f>O17*P46</f>
        <v>80746400</v>
      </c>
      <c r="Q47" s="9">
        <f>O17*Q46</f>
        <v>69139105</v>
      </c>
    </row>
    <row r="48" spans="2:17">
      <c r="B48" s="3" t="s">
        <v>152</v>
      </c>
      <c r="C48" s="73">
        <f>(C17-D17)*C46</f>
        <v>51634950</v>
      </c>
      <c r="D48" s="73">
        <f>(C17-D17)*D46</f>
        <v>275386400</v>
      </c>
      <c r="E48" s="73">
        <f>(C17-D17)*E46</f>
        <v>235799605</v>
      </c>
      <c r="F48" s="78"/>
      <c r="H48" s="3" t="s">
        <v>152</v>
      </c>
      <c r="I48" s="8">
        <f>(I17-J17)*I46</f>
        <v>24581400</v>
      </c>
      <c r="J48" s="8">
        <f>(I17-J17)*J46</f>
        <v>131100800</v>
      </c>
      <c r="K48" s="8">
        <f>(I17-J17)*K46</f>
        <v>112255060</v>
      </c>
      <c r="L48" s="54"/>
      <c r="N48" s="3" t="s">
        <v>152</v>
      </c>
      <c r="O48" s="8">
        <f>(O17-P17)*O46</f>
        <v>15124950</v>
      </c>
      <c r="P48" s="9">
        <f>(O17-P17)*P46</f>
        <v>80666400</v>
      </c>
      <c r="Q48" s="9">
        <f>(O17-P17)*Q46</f>
        <v>69070605</v>
      </c>
    </row>
    <row r="49" spans="2:17">
      <c r="C49" s="57"/>
      <c r="D49" s="57"/>
      <c r="E49" s="57"/>
      <c r="F49" s="57"/>
      <c r="I49" s="57"/>
      <c r="J49" s="57"/>
      <c r="K49" s="57"/>
      <c r="L49" s="57"/>
      <c r="O49" s="57"/>
      <c r="P49" s="57"/>
      <c r="Q49" s="57"/>
    </row>
    <row r="50" spans="2:17">
      <c r="B50" s="156" t="s">
        <v>153</v>
      </c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7"/>
      <c r="Q50" s="157"/>
    </row>
    <row r="51" spans="2:17">
      <c r="B51" s="155" t="s">
        <v>154</v>
      </c>
      <c r="C51" s="155"/>
      <c r="D51" s="155"/>
      <c r="E51" s="155"/>
      <c r="F51" s="67"/>
      <c r="H51" s="155" t="s">
        <v>155</v>
      </c>
      <c r="I51" s="155"/>
      <c r="J51" s="155"/>
      <c r="K51" s="155"/>
      <c r="L51" s="67"/>
      <c r="N51" s="155" t="s">
        <v>156</v>
      </c>
      <c r="O51" s="155"/>
      <c r="P51" s="155"/>
      <c r="Q51" s="155"/>
    </row>
    <row r="52" spans="2:17">
      <c r="B52" s="16"/>
      <c r="C52" s="16" t="s">
        <v>32</v>
      </c>
      <c r="D52" s="16" t="s">
        <v>33</v>
      </c>
      <c r="E52" s="16" t="s">
        <v>34</v>
      </c>
      <c r="F52" s="68"/>
      <c r="H52" s="16"/>
      <c r="I52" s="16" t="s">
        <v>32</v>
      </c>
      <c r="J52" s="16" t="s">
        <v>33</v>
      </c>
      <c r="K52" s="16" t="s">
        <v>34</v>
      </c>
      <c r="L52" s="68"/>
      <c r="N52" s="16"/>
      <c r="O52" s="16" t="s">
        <v>32</v>
      </c>
      <c r="P52" s="16" t="s">
        <v>33</v>
      </c>
      <c r="Q52" s="16" t="s">
        <v>34</v>
      </c>
    </row>
    <row r="53" spans="2:17">
      <c r="B53" s="3" t="s">
        <v>9</v>
      </c>
      <c r="C53" s="9">
        <v>16000</v>
      </c>
      <c r="D53" s="9">
        <v>90000</v>
      </c>
      <c r="E53" s="9">
        <v>78500</v>
      </c>
      <c r="F53" s="57"/>
      <c r="H53" s="3" t="s">
        <v>9</v>
      </c>
      <c r="I53" s="9">
        <v>16000</v>
      </c>
      <c r="J53" s="9">
        <v>90000</v>
      </c>
      <c r="K53" s="9">
        <v>78500</v>
      </c>
      <c r="L53" s="57"/>
      <c r="N53" s="3" t="s">
        <v>9</v>
      </c>
      <c r="O53" s="9">
        <v>16000</v>
      </c>
      <c r="P53" s="9">
        <v>90000</v>
      </c>
      <c r="Q53" s="9">
        <v>78500</v>
      </c>
    </row>
    <row r="54" spans="2:17">
      <c r="B54" s="3" t="s">
        <v>135</v>
      </c>
      <c r="C54" s="9">
        <f>C18*C53</f>
        <v>55093280</v>
      </c>
      <c r="D54" s="9">
        <f>C18*D53</f>
        <v>309899700</v>
      </c>
      <c r="E54" s="9">
        <f>C18*E53</f>
        <v>270301405</v>
      </c>
      <c r="F54" s="57"/>
      <c r="H54" s="3" t="s">
        <v>135</v>
      </c>
      <c r="I54" s="9">
        <f>I17*I53</f>
        <v>26236160</v>
      </c>
      <c r="J54" s="9">
        <f>I17*J53</f>
        <v>147578400</v>
      </c>
      <c r="K54" s="9">
        <f>I17*K53</f>
        <v>128721160</v>
      </c>
      <c r="L54" s="57"/>
      <c r="N54" s="3" t="s">
        <v>135</v>
      </c>
      <c r="O54" s="9">
        <f>O17*O53</f>
        <v>16149280</v>
      </c>
      <c r="P54" s="9">
        <f>O17*P53</f>
        <v>90839700</v>
      </c>
      <c r="Q54" s="9">
        <f>O17*Q53</f>
        <v>79232405</v>
      </c>
    </row>
    <row r="55" spans="2:17">
      <c r="B55" s="3" t="s">
        <v>157</v>
      </c>
      <c r="C55" s="9">
        <f>C54-C53</f>
        <v>55077280</v>
      </c>
      <c r="D55" s="9">
        <f t="shared" ref="D55:E55" si="3">D54-D53</f>
        <v>309809700</v>
      </c>
      <c r="E55" s="9">
        <f t="shared" si="3"/>
        <v>270222905</v>
      </c>
      <c r="F55" s="57"/>
      <c r="H55" s="3" t="s">
        <v>157</v>
      </c>
      <c r="I55" s="9">
        <f>I54-I53</f>
        <v>26220160</v>
      </c>
      <c r="J55" s="9">
        <f t="shared" ref="J55:K55" si="4">J54-J53</f>
        <v>147488400</v>
      </c>
      <c r="K55" s="9">
        <f t="shared" si="4"/>
        <v>128642660</v>
      </c>
      <c r="L55" s="57"/>
      <c r="N55" s="3" t="s">
        <v>157</v>
      </c>
      <c r="O55" s="9">
        <f>O54-O53</f>
        <v>16133280</v>
      </c>
      <c r="P55" s="9">
        <f t="shared" ref="P55:Q55" si="5">P54-P53</f>
        <v>90749700</v>
      </c>
      <c r="Q55" s="9">
        <f t="shared" si="5"/>
        <v>79153905</v>
      </c>
    </row>
    <row r="56" spans="2:17">
      <c r="C56" s="57"/>
      <c r="D56" s="57"/>
      <c r="E56" s="57"/>
      <c r="F56" s="57"/>
      <c r="I56" s="57"/>
      <c r="J56" s="57"/>
      <c r="K56" s="57"/>
      <c r="L56" s="57"/>
      <c r="O56" s="57"/>
      <c r="P56" s="57"/>
      <c r="Q56" s="57"/>
    </row>
    <row r="57" spans="2:17">
      <c r="B57" s="156" t="s">
        <v>158</v>
      </c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</row>
    <row r="58" spans="2:17">
      <c r="B58" s="155" t="s">
        <v>159</v>
      </c>
      <c r="C58" s="155"/>
      <c r="D58" s="155"/>
      <c r="E58" s="155"/>
      <c r="F58" s="67"/>
      <c r="H58" s="155" t="s">
        <v>160</v>
      </c>
      <c r="I58" s="155"/>
      <c r="J58" s="155"/>
      <c r="K58" s="155"/>
      <c r="L58" s="67"/>
      <c r="N58" s="155" t="s">
        <v>161</v>
      </c>
      <c r="O58" s="155"/>
      <c r="P58" s="155"/>
      <c r="Q58" s="155"/>
    </row>
    <row r="59" spans="2:17">
      <c r="B59" s="14"/>
      <c r="C59" s="16" t="s">
        <v>32</v>
      </c>
      <c r="D59" s="16" t="s">
        <v>33</v>
      </c>
      <c r="E59" s="16" t="s">
        <v>34</v>
      </c>
      <c r="F59" s="68"/>
      <c r="H59" s="14"/>
      <c r="I59" s="16" t="s">
        <v>32</v>
      </c>
      <c r="J59" s="16" t="s">
        <v>33</v>
      </c>
      <c r="K59" s="16" t="s">
        <v>34</v>
      </c>
      <c r="L59" s="68"/>
      <c r="N59" s="14"/>
      <c r="O59" s="16" t="s">
        <v>32</v>
      </c>
      <c r="P59" s="16" t="s">
        <v>33</v>
      </c>
      <c r="Q59" s="16" t="s">
        <v>34</v>
      </c>
    </row>
    <row r="60" spans="2:17">
      <c r="B60" s="3" t="s">
        <v>9</v>
      </c>
      <c r="C60" s="9">
        <v>19000</v>
      </c>
      <c r="D60" s="9">
        <v>100000</v>
      </c>
      <c r="E60" s="9">
        <v>82500</v>
      </c>
      <c r="F60" s="57"/>
      <c r="H60" s="3" t="s">
        <v>9</v>
      </c>
      <c r="I60" s="9">
        <v>19000</v>
      </c>
      <c r="J60" s="9">
        <v>100000</v>
      </c>
      <c r="K60" s="9">
        <v>82500</v>
      </c>
      <c r="L60" s="57"/>
      <c r="N60" s="3" t="s">
        <v>9</v>
      </c>
      <c r="O60" s="9">
        <v>19000</v>
      </c>
      <c r="P60" s="9">
        <v>100000</v>
      </c>
      <c r="Q60" s="9">
        <v>82500</v>
      </c>
    </row>
    <row r="61" spans="2:17">
      <c r="B61" s="3" t="s">
        <v>135</v>
      </c>
      <c r="C61" s="9">
        <f>C19*C60</f>
        <v>50056070.000000007</v>
      </c>
      <c r="D61" s="9">
        <f>C19*D60</f>
        <v>263453000.00000003</v>
      </c>
      <c r="E61" s="9">
        <f>C19*E60</f>
        <v>217348725.00000003</v>
      </c>
      <c r="F61" s="57"/>
      <c r="H61" s="3" t="s">
        <v>135</v>
      </c>
      <c r="I61" s="9">
        <f>I19*I60</f>
        <v>18040120</v>
      </c>
      <c r="J61" s="9">
        <f>I19*J60</f>
        <v>94948000</v>
      </c>
      <c r="K61" s="9">
        <f>I19*K60</f>
        <v>78332100</v>
      </c>
      <c r="L61" s="57"/>
      <c r="N61" s="3" t="s">
        <v>135</v>
      </c>
      <c r="O61" s="9">
        <f>O19*O60</f>
        <v>1263500</v>
      </c>
      <c r="P61" s="9">
        <f>O19*P60</f>
        <v>6650000</v>
      </c>
      <c r="Q61" s="9">
        <f>O19*Q60</f>
        <v>5486250</v>
      </c>
    </row>
    <row r="62" spans="2:17">
      <c r="B62" s="3" t="s">
        <v>162</v>
      </c>
      <c r="C62" s="9">
        <f>(C19-D19)*C60</f>
        <v>50037070.000000007</v>
      </c>
      <c r="D62" s="9">
        <f>(C19-D19)*D60</f>
        <v>263353000.00000003</v>
      </c>
      <c r="E62" s="9">
        <f>(C19-D19)*E60</f>
        <v>217266225.00000003</v>
      </c>
      <c r="F62" s="57"/>
      <c r="H62" s="3" t="s">
        <v>162</v>
      </c>
      <c r="I62" s="9">
        <f>I61-I60</f>
        <v>18021120</v>
      </c>
      <c r="J62" s="9">
        <f t="shared" ref="J62:K62" si="6">J61-J60</f>
        <v>94848000</v>
      </c>
      <c r="K62" s="9">
        <f t="shared" si="6"/>
        <v>78249600</v>
      </c>
      <c r="L62" s="57"/>
      <c r="N62" s="3" t="s">
        <v>162</v>
      </c>
      <c r="O62" s="9">
        <f>O61-O60</f>
        <v>1244500</v>
      </c>
      <c r="P62" s="9">
        <f>P61-P60</f>
        <v>6550000</v>
      </c>
      <c r="Q62" s="9">
        <f>Q61-Q60</f>
        <v>5403750</v>
      </c>
    </row>
  </sheetData>
  <mergeCells count="57">
    <mergeCell ref="H12:K12"/>
    <mergeCell ref="N12:Q12"/>
    <mergeCell ref="B12:E12"/>
    <mergeCell ref="D32:E32"/>
    <mergeCell ref="D33:E33"/>
    <mergeCell ref="J32:K32"/>
    <mergeCell ref="J33:K33"/>
    <mergeCell ref="N30:Q30"/>
    <mergeCell ref="P31:Q31"/>
    <mergeCell ref="P32:Q32"/>
    <mergeCell ref="P33:Q33"/>
    <mergeCell ref="H29:K29"/>
    <mergeCell ref="N29:Q29"/>
    <mergeCell ref="B29:E29"/>
    <mergeCell ref="B28:Q28"/>
    <mergeCell ref="H30:K30"/>
    <mergeCell ref="D34:E34"/>
    <mergeCell ref="H37:K37"/>
    <mergeCell ref="N37:Q37"/>
    <mergeCell ref="B37:E37"/>
    <mergeCell ref="B36:Q36"/>
    <mergeCell ref="J34:K34"/>
    <mergeCell ref="P34:Q34"/>
    <mergeCell ref="N22:Q22"/>
    <mergeCell ref="P23:Q23"/>
    <mergeCell ref="P24:Q24"/>
    <mergeCell ref="P25:Q25"/>
    <mergeCell ref="J26:K26"/>
    <mergeCell ref="B22:E22"/>
    <mergeCell ref="D23:E23"/>
    <mergeCell ref="D24:E24"/>
    <mergeCell ref="D25:E25"/>
    <mergeCell ref="D26:E26"/>
    <mergeCell ref="B57:Q57"/>
    <mergeCell ref="H58:K58"/>
    <mergeCell ref="N58:Q58"/>
    <mergeCell ref="B58:E58"/>
    <mergeCell ref="H44:K44"/>
    <mergeCell ref="N44:Q44"/>
    <mergeCell ref="B44:E44"/>
    <mergeCell ref="B50:Q50"/>
    <mergeCell ref="B2:J2"/>
    <mergeCell ref="C3:I3"/>
    <mergeCell ref="C4:I4"/>
    <mergeCell ref="H51:K51"/>
    <mergeCell ref="N51:Q51"/>
    <mergeCell ref="B51:E51"/>
    <mergeCell ref="B43:Q43"/>
    <mergeCell ref="B21:Q21"/>
    <mergeCell ref="H22:K22"/>
    <mergeCell ref="J23:K23"/>
    <mergeCell ref="J24:K24"/>
    <mergeCell ref="J25:K25"/>
    <mergeCell ref="J31:K31"/>
    <mergeCell ref="B30:E30"/>
    <mergeCell ref="D31:E31"/>
    <mergeCell ref="P26:Q26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03DDB-95EF-4FDB-AE04-2829EFA238E5}">
  <dimension ref="B2:M40"/>
  <sheetViews>
    <sheetView topLeftCell="E13" zoomScale="90" zoomScaleNormal="90" workbookViewId="0">
      <selection activeCell="F41" sqref="F41"/>
    </sheetView>
  </sheetViews>
  <sheetFormatPr defaultRowHeight="15"/>
  <cols>
    <col min="2" max="2" width="26.42578125" bestFit="1" customWidth="1"/>
    <col min="3" max="3" width="17.85546875" bestFit="1" customWidth="1"/>
    <col min="4" max="4" width="17" bestFit="1" customWidth="1"/>
    <col min="5" max="5" width="26.28515625" bestFit="1" customWidth="1"/>
    <col min="6" max="6" width="21.140625" bestFit="1" customWidth="1"/>
    <col min="7" max="7" width="19.85546875" bestFit="1" customWidth="1"/>
    <col min="8" max="8" width="14.7109375" bestFit="1" customWidth="1"/>
    <col min="10" max="10" width="26" bestFit="1" customWidth="1"/>
    <col min="11" max="11" width="22.85546875" bestFit="1" customWidth="1"/>
    <col min="12" max="12" width="25.5703125" bestFit="1" customWidth="1"/>
    <col min="13" max="13" width="22.7109375" bestFit="1" customWidth="1"/>
    <col min="14" max="14" width="47.5703125" customWidth="1"/>
    <col min="15" max="15" width="44.42578125" customWidth="1"/>
    <col min="16" max="16" width="42.85546875" customWidth="1"/>
    <col min="17" max="17" width="36" customWidth="1"/>
    <col min="18" max="18" width="37.42578125" customWidth="1"/>
    <col min="19" max="19" width="44.42578125" customWidth="1"/>
    <col min="20" max="20" width="30.140625" customWidth="1"/>
    <col min="21" max="21" width="26.5703125" customWidth="1"/>
    <col min="22" max="22" width="17.7109375" customWidth="1"/>
  </cols>
  <sheetData>
    <row r="2" spans="2:13" ht="15.75">
      <c r="B2" s="86" t="s">
        <v>0</v>
      </c>
      <c r="C2" s="87"/>
      <c r="G2" s="86" t="s">
        <v>0</v>
      </c>
      <c r="H2" s="87"/>
      <c r="L2" s="86" t="s">
        <v>0</v>
      </c>
      <c r="M2" s="88"/>
    </row>
    <row r="3" spans="2:13" ht="15.75">
      <c r="B3" s="88" t="s">
        <v>1</v>
      </c>
      <c r="C3" s="89">
        <v>114777819</v>
      </c>
      <c r="F3" s="90"/>
      <c r="G3" s="88" t="s">
        <v>2</v>
      </c>
      <c r="H3" s="89">
        <v>54658515</v>
      </c>
      <c r="I3" s="91"/>
      <c r="L3" s="88" t="s">
        <v>3</v>
      </c>
      <c r="M3" s="92">
        <v>33644422</v>
      </c>
    </row>
    <row r="9" spans="2:13">
      <c r="B9" s="52" t="s">
        <v>163</v>
      </c>
      <c r="C9" s="52" t="s">
        <v>164</v>
      </c>
      <c r="D9" s="37" t="s">
        <v>165</v>
      </c>
      <c r="E9" s="37" t="s">
        <v>166</v>
      </c>
      <c r="F9" s="37" t="s">
        <v>167</v>
      </c>
      <c r="G9" s="37" t="s">
        <v>168</v>
      </c>
      <c r="J9" s="165" t="s">
        <v>169</v>
      </c>
      <c r="K9" s="165"/>
      <c r="L9" s="165"/>
    </row>
    <row r="10" spans="2:13">
      <c r="B10" s="3" t="s">
        <v>170</v>
      </c>
      <c r="C10" s="3" t="s">
        <v>171</v>
      </c>
      <c r="D10" s="50">
        <v>6307.9</v>
      </c>
      <c r="E10" s="50">
        <f>D10+(D10*40%)</f>
        <v>8831.06</v>
      </c>
      <c r="F10" s="50">
        <v>11102.52</v>
      </c>
      <c r="G10" s="49">
        <f>F10+(F10*10%)</f>
        <v>12212.772000000001</v>
      </c>
      <c r="J10" s="19" t="s">
        <v>172</v>
      </c>
      <c r="K10" s="19" t="s">
        <v>173</v>
      </c>
      <c r="L10" s="38" t="s">
        <v>174</v>
      </c>
    </row>
    <row r="11" spans="2:13">
      <c r="B11" s="3" t="s">
        <v>175</v>
      </c>
      <c r="C11" s="3" t="s">
        <v>176</v>
      </c>
      <c r="D11" s="50">
        <v>549.84</v>
      </c>
      <c r="E11" s="50">
        <f>D11+(D11*40%)</f>
        <v>769.77600000000007</v>
      </c>
      <c r="F11" s="50">
        <v>1099.68</v>
      </c>
      <c r="G11" s="49">
        <f>F11+(F11*30%)</f>
        <v>1429.5840000000001</v>
      </c>
      <c r="J11" s="8">
        <f>G14</f>
        <v>18957.257000000005</v>
      </c>
      <c r="K11" s="8">
        <f>E14</f>
        <v>12850.394</v>
      </c>
      <c r="L11" s="8">
        <f>J11-K11</f>
        <v>6106.8630000000048</v>
      </c>
    </row>
    <row r="12" spans="2:13">
      <c r="B12" s="3" t="s">
        <v>177</v>
      </c>
      <c r="C12" s="3" t="s">
        <v>178</v>
      </c>
      <c r="D12" s="50">
        <v>2293.36</v>
      </c>
      <c r="E12" s="50">
        <f>D12+(D12*30%)</f>
        <v>2981.3680000000004</v>
      </c>
      <c r="F12" s="50">
        <v>3875.88</v>
      </c>
      <c r="G12" s="49">
        <f>F12+(F12*20%)</f>
        <v>4651.0560000000005</v>
      </c>
      <c r="L12" s="81"/>
    </row>
    <row r="13" spans="2:13">
      <c r="B13" s="3" t="s">
        <v>179</v>
      </c>
      <c r="C13" s="3" t="s">
        <v>180</v>
      </c>
      <c r="D13" s="50">
        <v>206.3</v>
      </c>
      <c r="E13" s="50">
        <f>D13+(D13*30%)</f>
        <v>268.19</v>
      </c>
      <c r="F13" s="49">
        <v>510.65</v>
      </c>
      <c r="G13" s="49">
        <f>F13+(F13*30%)</f>
        <v>663.84500000000003</v>
      </c>
    </row>
    <row r="14" spans="2:13">
      <c r="B14" s="3" t="s">
        <v>181</v>
      </c>
      <c r="C14" s="3"/>
      <c r="D14" s="49"/>
      <c r="E14" s="50">
        <f>SUM(E10:E13)</f>
        <v>12850.394</v>
      </c>
      <c r="F14" s="3"/>
      <c r="G14" s="49">
        <f>SUM(G10:G13)</f>
        <v>18957.257000000005</v>
      </c>
      <c r="J14" s="164" t="s">
        <v>182</v>
      </c>
      <c r="K14" s="164"/>
      <c r="L14" s="164"/>
      <c r="M14" s="164"/>
    </row>
    <row r="15" spans="2:13">
      <c r="J15" s="19" t="s">
        <v>35</v>
      </c>
      <c r="K15" s="38" t="s">
        <v>58</v>
      </c>
      <c r="L15" s="38" t="s">
        <v>59</v>
      </c>
      <c r="M15" s="38" t="s">
        <v>60</v>
      </c>
    </row>
    <row r="16" spans="2:13">
      <c r="B16" s="52" t="s">
        <v>183</v>
      </c>
      <c r="C16" s="52" t="s">
        <v>184</v>
      </c>
      <c r="D16" s="52" t="s">
        <v>185</v>
      </c>
      <c r="J16" s="3" t="s">
        <v>186</v>
      </c>
      <c r="K16" s="83">
        <f>C3</f>
        <v>114777819</v>
      </c>
      <c r="L16" s="84">
        <f>H3</f>
        <v>54658515</v>
      </c>
      <c r="M16" s="83">
        <f>M3</f>
        <v>33644422</v>
      </c>
    </row>
    <row r="17" spans="2:13">
      <c r="B17" s="3" t="s">
        <v>171</v>
      </c>
      <c r="C17" s="3">
        <v>750</v>
      </c>
      <c r="D17" s="49">
        <f>C17*Receita!D10</f>
        <v>4730925</v>
      </c>
      <c r="J17" s="82" t="s">
        <v>187</v>
      </c>
      <c r="K17" s="85">
        <f>K16*15%</f>
        <v>17216672.849999998</v>
      </c>
      <c r="L17" s="85">
        <f>L16*15%</f>
        <v>8198777.25</v>
      </c>
      <c r="M17" s="85">
        <f>M16*15%</f>
        <v>5046663.3</v>
      </c>
    </row>
    <row r="18" spans="2:13">
      <c r="B18" s="3" t="s">
        <v>176</v>
      </c>
      <c r="C18" s="3">
        <v>1750</v>
      </c>
      <c r="D18" s="49">
        <f>C18*Receita!D11</f>
        <v>962220</v>
      </c>
      <c r="J18" s="3" t="s">
        <v>188</v>
      </c>
      <c r="K18" s="85">
        <f>K16*15%</f>
        <v>17216672.849999998</v>
      </c>
      <c r="L18" s="85">
        <f>L16*15%</f>
        <v>8198777.25</v>
      </c>
      <c r="M18" s="85">
        <f>M16*15%</f>
        <v>5046663.3</v>
      </c>
    </row>
    <row r="19" spans="2:13">
      <c r="B19" s="3" t="s">
        <v>178</v>
      </c>
      <c r="C19" s="3">
        <v>750</v>
      </c>
      <c r="D19" s="49">
        <f>C19*Receita!D12</f>
        <v>1720020</v>
      </c>
      <c r="H19" s="99"/>
      <c r="J19" s="3" t="s">
        <v>189</v>
      </c>
      <c r="K19" s="85">
        <f>K16*30%</f>
        <v>34433345.699999996</v>
      </c>
      <c r="L19" s="85">
        <f>L16*30%</f>
        <v>16397554.5</v>
      </c>
      <c r="M19" s="85">
        <f>M16*30%</f>
        <v>10093326.6</v>
      </c>
    </row>
    <row r="20" spans="2:13">
      <c r="B20" s="3" t="s">
        <v>180</v>
      </c>
      <c r="C20" s="3">
        <v>1750</v>
      </c>
      <c r="D20" s="49">
        <f>C20*Receita!D13</f>
        <v>361025</v>
      </c>
      <c r="H20" s="1"/>
      <c r="J20" s="3" t="s">
        <v>190</v>
      </c>
      <c r="K20" s="85">
        <f>K16*15%</f>
        <v>17216672.849999998</v>
      </c>
      <c r="L20" s="85">
        <f>L16*15%</f>
        <v>8198777.25</v>
      </c>
      <c r="M20" s="85">
        <f>M16*15%</f>
        <v>5046663.3</v>
      </c>
    </row>
    <row r="21" spans="2:13">
      <c r="B21" s="3" t="s">
        <v>64</v>
      </c>
      <c r="C21" s="3">
        <f>SUM(C17:C20)</f>
        <v>5000</v>
      </c>
      <c r="D21" s="49">
        <f>SUM(D17:D20)</f>
        <v>7774190</v>
      </c>
      <c r="H21" s="2"/>
    </row>
    <row r="22" spans="2:13">
      <c r="H22" s="2"/>
      <c r="J22" s="164" t="s">
        <v>191</v>
      </c>
      <c r="K22" s="164"/>
      <c r="L22" s="164"/>
      <c r="M22" s="164"/>
    </row>
    <row r="23" spans="2:13">
      <c r="H23" s="2"/>
      <c r="J23" s="19" t="s">
        <v>35</v>
      </c>
      <c r="K23" s="38" t="s">
        <v>58</v>
      </c>
      <c r="L23" s="38" t="s">
        <v>59</v>
      </c>
      <c r="M23" s="38" t="s">
        <v>60</v>
      </c>
    </row>
    <row r="24" spans="2:13">
      <c r="E24" s="164" t="s">
        <v>192</v>
      </c>
      <c r="F24" s="164"/>
      <c r="H24" s="2"/>
      <c r="J24" s="3" t="s">
        <v>170</v>
      </c>
      <c r="K24" s="49">
        <f>K17*E10</f>
        <v>152041470938.72098</v>
      </c>
      <c r="L24" s="49">
        <f>L17*E10</f>
        <v>72403893821.384995</v>
      </c>
      <c r="M24" s="49">
        <f>M17*E10</f>
        <v>44567386402.098</v>
      </c>
    </row>
    <row r="25" spans="2:13">
      <c r="E25" s="39" t="s">
        <v>164</v>
      </c>
      <c r="F25" s="39" t="s">
        <v>85</v>
      </c>
      <c r="H25" s="2"/>
      <c r="J25" s="3" t="s">
        <v>175</v>
      </c>
      <c r="K25" s="49">
        <f t="shared" ref="K25:K27" si="0">K18*E11</f>
        <v>13252981559.781599</v>
      </c>
      <c r="L25" s="49">
        <f>L18*E11</f>
        <v>6311221956.3960009</v>
      </c>
      <c r="M25" s="49">
        <f>M18*E11</f>
        <v>3884800288.4208002</v>
      </c>
    </row>
    <row r="26" spans="2:13">
      <c r="E26" s="3" t="s">
        <v>170</v>
      </c>
      <c r="F26" s="8">
        <v>219.9</v>
      </c>
      <c r="J26" s="3" t="s">
        <v>177</v>
      </c>
      <c r="K26" s="49">
        <f t="shared" si="0"/>
        <v>102658475002.9176</v>
      </c>
      <c r="L26" s="49">
        <f>L19*E12</f>
        <v>48887144264.556007</v>
      </c>
      <c r="M26" s="49">
        <f>M19*E12</f>
        <v>30091920938.788803</v>
      </c>
    </row>
    <row r="27" spans="2:13">
      <c r="E27" s="3" t="s">
        <v>175</v>
      </c>
      <c r="F27" s="8">
        <v>99.9</v>
      </c>
      <c r="J27" s="3" t="s">
        <v>179</v>
      </c>
      <c r="K27" s="49">
        <f t="shared" si="0"/>
        <v>4617339491.6414995</v>
      </c>
      <c r="L27" s="49">
        <f>L20*E13</f>
        <v>2198830070.6774998</v>
      </c>
      <c r="M27" s="49">
        <f>M20*E13</f>
        <v>1353464630.427</v>
      </c>
    </row>
    <row r="28" spans="2:13">
      <c r="E28" s="3" t="s">
        <v>177</v>
      </c>
      <c r="F28" s="8">
        <v>149.5</v>
      </c>
      <c r="J28" s="76" t="s">
        <v>193</v>
      </c>
      <c r="K28" s="49">
        <f>SUM(K24:K27)</f>
        <v>272570266993.06168</v>
      </c>
      <c r="L28" s="49">
        <f>SUM(L24:L27)</f>
        <v>129801090113.01451</v>
      </c>
      <c r="M28" s="49">
        <f>SUM(M24:M27)</f>
        <v>79897572259.734604</v>
      </c>
    </row>
    <row r="29" spans="2:13">
      <c r="E29" s="3" t="s">
        <v>179</v>
      </c>
      <c r="F29" s="8">
        <v>59.9</v>
      </c>
    </row>
    <row r="30" spans="2:13">
      <c r="E30" s="3" t="s">
        <v>194</v>
      </c>
      <c r="F30" s="8">
        <f>SUM(F26:F29)</f>
        <v>529.20000000000005</v>
      </c>
      <c r="J30" s="164" t="s">
        <v>195</v>
      </c>
      <c r="K30" s="164"/>
      <c r="L30" s="164"/>
      <c r="M30" s="164"/>
    </row>
    <row r="31" spans="2:13">
      <c r="J31" s="19" t="s">
        <v>35</v>
      </c>
      <c r="K31" s="38" t="s">
        <v>58</v>
      </c>
      <c r="L31" s="38" t="s">
        <v>59</v>
      </c>
      <c r="M31" s="38" t="s">
        <v>60</v>
      </c>
    </row>
    <row r="32" spans="2:13">
      <c r="E32" s="164" t="s">
        <v>196</v>
      </c>
      <c r="F32" s="164"/>
      <c r="G32" s="164"/>
      <c r="J32" s="3" t="s">
        <v>170</v>
      </c>
      <c r="K32" s="49">
        <f>K17*G10</f>
        <v>210263300115.6402</v>
      </c>
      <c r="L32" s="49">
        <f>L17*G10</f>
        <v>100129797233.037</v>
      </c>
      <c r="M32" s="49">
        <f>M17*G10</f>
        <v>61633748243.667603</v>
      </c>
    </row>
    <row r="33" spans="5:13">
      <c r="E33" s="39" t="s">
        <v>164</v>
      </c>
      <c r="F33" s="39" t="s">
        <v>197</v>
      </c>
      <c r="G33" s="31" t="s">
        <v>198</v>
      </c>
      <c r="J33" s="3" t="s">
        <v>175</v>
      </c>
      <c r="K33" s="49">
        <f>K18*G11</f>
        <v>24612680039.594398</v>
      </c>
      <c r="L33" s="49">
        <f t="shared" ref="L33:L35" si="1">L18*G11</f>
        <v>11720840776.164</v>
      </c>
      <c r="M33" s="49">
        <f t="shared" ref="M33:M35" si="2">M18*G11</f>
        <v>7214629107.0671997</v>
      </c>
    </row>
    <row r="34" spans="5:13">
      <c r="E34" s="3" t="s">
        <v>170</v>
      </c>
      <c r="F34" s="8">
        <v>219.9</v>
      </c>
      <c r="G34" s="8">
        <f>K17*F34</f>
        <v>3785946359.7149997</v>
      </c>
      <c r="J34" s="3" t="s">
        <v>177</v>
      </c>
      <c r="K34" s="49">
        <f>K19*G12</f>
        <v>160151419118.0592</v>
      </c>
      <c r="L34" s="49">
        <f t="shared" si="1"/>
        <v>76265944242.552002</v>
      </c>
      <c r="M34" s="49">
        <f t="shared" si="2"/>
        <v>46944627242.889603</v>
      </c>
    </row>
    <row r="35" spans="5:13">
      <c r="E35" s="3" t="s">
        <v>175</v>
      </c>
      <c r="F35" s="8">
        <v>99.9</v>
      </c>
      <c r="G35" s="8">
        <f>K18*F35</f>
        <v>1719945617.7149999</v>
      </c>
      <c r="J35" s="3" t="s">
        <v>179</v>
      </c>
      <c r="K35" s="49">
        <f>K20*G13</f>
        <v>11429202188.10825</v>
      </c>
      <c r="L35" s="49">
        <f t="shared" si="1"/>
        <v>5442717283.5262499</v>
      </c>
      <c r="M35" s="49">
        <f t="shared" si="2"/>
        <v>3350202198.3885002</v>
      </c>
    </row>
    <row r="36" spans="5:13">
      <c r="E36" s="3" t="s">
        <v>177</v>
      </c>
      <c r="F36" s="8">
        <v>149.5</v>
      </c>
      <c r="G36" s="8">
        <f>K19*F36</f>
        <v>5147785182.1499996</v>
      </c>
      <c r="J36" s="76" t="s">
        <v>193</v>
      </c>
      <c r="K36" s="49">
        <f>SUM(K32:K35)</f>
        <v>406456601461.4021</v>
      </c>
      <c r="L36" s="49">
        <f>SUM(L32:L35)</f>
        <v>193559299535.27924</v>
      </c>
      <c r="M36" s="49">
        <f>SUM(M32:M35)</f>
        <v>119143206792.01291</v>
      </c>
    </row>
    <row r="37" spans="5:13">
      <c r="E37" s="3" t="s">
        <v>179</v>
      </c>
      <c r="F37" s="8">
        <v>59.9</v>
      </c>
      <c r="G37" s="8">
        <f>K20*F37</f>
        <v>1031278703.7149998</v>
      </c>
    </row>
    <row r="38" spans="5:13">
      <c r="E38" s="3" t="s">
        <v>194</v>
      </c>
      <c r="F38" s="8">
        <f>SUM(F34:F37)</f>
        <v>529.20000000000005</v>
      </c>
      <c r="G38" s="8">
        <f>SUM(G34:G37)</f>
        <v>11684955863.294998</v>
      </c>
      <c r="J38" s="164" t="s">
        <v>199</v>
      </c>
      <c r="K38" s="164"/>
      <c r="L38" s="164"/>
      <c r="M38" s="164"/>
    </row>
    <row r="39" spans="5:13">
      <c r="J39" s="31" t="s">
        <v>35</v>
      </c>
      <c r="K39" s="31" t="s">
        <v>58</v>
      </c>
      <c r="L39" s="31" t="s">
        <v>59</v>
      </c>
      <c r="M39" s="31" t="s">
        <v>60</v>
      </c>
    </row>
    <row r="40" spans="5:13">
      <c r="J40" s="3" t="s">
        <v>64</v>
      </c>
      <c r="K40" s="8">
        <f>G38+K36</f>
        <v>418141557324.69708</v>
      </c>
      <c r="L40" s="8">
        <f>H38+L36</f>
        <v>193559299535.27924</v>
      </c>
      <c r="M40" s="8">
        <f>I38+M36</f>
        <v>119143206792.01291</v>
      </c>
    </row>
  </sheetData>
  <mergeCells count="7">
    <mergeCell ref="E32:G32"/>
    <mergeCell ref="J38:M38"/>
    <mergeCell ref="J30:M30"/>
    <mergeCell ref="J9:L9"/>
    <mergeCell ref="E24:F24"/>
    <mergeCell ref="J14:M14"/>
    <mergeCell ref="J22:M22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F7B3-7AE2-4242-B97F-AA5F4390009D}">
  <dimension ref="B1:AJ22"/>
  <sheetViews>
    <sheetView tabSelected="1" topLeftCell="T1" workbookViewId="0">
      <selection activeCell="L3" sqref="L3"/>
    </sheetView>
  </sheetViews>
  <sheetFormatPr defaultRowHeight="15"/>
  <cols>
    <col min="2" max="2" width="18.5703125" bestFit="1" customWidth="1"/>
    <col min="3" max="3" width="15.28515625" bestFit="1" customWidth="1"/>
    <col min="4" max="4" width="13.7109375" bestFit="1" customWidth="1"/>
    <col min="6" max="6" width="18.28515625" bestFit="1" customWidth="1"/>
    <col min="7" max="7" width="14.28515625" bestFit="1" customWidth="1"/>
    <col min="8" max="8" width="11.5703125" bestFit="1" customWidth="1"/>
    <col min="10" max="10" width="18.28515625" bestFit="1" customWidth="1"/>
    <col min="11" max="11" width="13.28515625" bestFit="1" customWidth="1"/>
    <col min="12" max="12" width="11.5703125" bestFit="1" customWidth="1"/>
    <col min="14" max="14" width="19.28515625" bestFit="1" customWidth="1"/>
    <col min="15" max="15" width="15.28515625" bestFit="1" customWidth="1"/>
    <col min="16" max="16" width="13.28515625" bestFit="1" customWidth="1"/>
    <col min="18" max="18" width="19.28515625" bestFit="1" customWidth="1"/>
    <col min="19" max="19" width="14.28515625" bestFit="1" customWidth="1"/>
    <col min="20" max="20" width="12.5703125" bestFit="1" customWidth="1"/>
    <col min="22" max="22" width="19.28515625" bestFit="1" customWidth="1"/>
    <col min="23" max="23" width="13.28515625" bestFit="1" customWidth="1"/>
    <col min="24" max="24" width="11.5703125" bestFit="1" customWidth="1"/>
    <col min="26" max="26" width="19.28515625" bestFit="1" customWidth="1"/>
    <col min="27" max="27" width="15.28515625" bestFit="1" customWidth="1"/>
    <col min="28" max="28" width="13.28515625" bestFit="1" customWidth="1"/>
    <col min="30" max="30" width="19.28515625" bestFit="1" customWidth="1"/>
    <col min="31" max="31" width="14.28515625" bestFit="1" customWidth="1"/>
    <col min="32" max="32" width="12.5703125" bestFit="1" customWidth="1"/>
    <col min="34" max="34" width="19.28515625" bestFit="1" customWidth="1"/>
    <col min="35" max="36" width="13.28515625" bestFit="1" customWidth="1"/>
  </cols>
  <sheetData>
    <row r="1" spans="2:36" ht="36">
      <c r="B1" s="167" t="s">
        <v>200</v>
      </c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</row>
    <row r="2" spans="2:36" ht="29.25" customHeight="1">
      <c r="B2" s="168" t="s">
        <v>201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</row>
    <row r="4" spans="2:36" ht="24">
      <c r="B4" s="169" t="s">
        <v>202</v>
      </c>
      <c r="C4" s="169"/>
      <c r="D4" s="169"/>
      <c r="E4" s="169"/>
      <c r="F4" s="169"/>
      <c r="G4" s="169"/>
      <c r="H4" s="169"/>
      <c r="I4" s="169"/>
      <c r="J4" s="169"/>
      <c r="K4" s="169"/>
      <c r="L4" s="169"/>
      <c r="N4" s="169" t="s">
        <v>203</v>
      </c>
      <c r="O4" s="169"/>
      <c r="P4" s="169"/>
      <c r="Q4" s="169"/>
      <c r="R4" s="169"/>
      <c r="S4" s="169"/>
      <c r="T4" s="169"/>
      <c r="U4" s="169"/>
      <c r="V4" s="169"/>
      <c r="W4" s="169"/>
      <c r="X4" s="169"/>
      <c r="Z4" s="169" t="s">
        <v>204</v>
      </c>
      <c r="AA4" s="169"/>
      <c r="AB4" s="169"/>
      <c r="AC4" s="169"/>
      <c r="AD4" s="169"/>
      <c r="AE4" s="169"/>
      <c r="AF4" s="169"/>
      <c r="AG4" s="169"/>
      <c r="AH4" s="169"/>
      <c r="AI4" s="169"/>
      <c r="AJ4" s="169"/>
    </row>
    <row r="5" spans="2:36">
      <c r="B5" s="164" t="s">
        <v>1</v>
      </c>
      <c r="C5" s="164"/>
      <c r="D5" s="164"/>
      <c r="F5" s="164" t="s">
        <v>2</v>
      </c>
      <c r="G5" s="164"/>
      <c r="H5" s="164"/>
      <c r="J5" s="164" t="s">
        <v>3</v>
      </c>
      <c r="K5" s="164"/>
      <c r="L5" s="164"/>
      <c r="N5" s="164" t="s">
        <v>1</v>
      </c>
      <c r="O5" s="164"/>
      <c r="P5" s="164"/>
      <c r="R5" s="164" t="s">
        <v>2</v>
      </c>
      <c r="S5" s="164"/>
      <c r="T5" s="164"/>
      <c r="V5" s="164" t="s">
        <v>3</v>
      </c>
      <c r="W5" s="164"/>
      <c r="X5" s="164"/>
      <c r="Z5" s="164" t="s">
        <v>1</v>
      </c>
      <c r="AA5" s="164"/>
      <c r="AB5" s="164"/>
      <c r="AD5" s="164" t="s">
        <v>2</v>
      </c>
      <c r="AE5" s="164"/>
      <c r="AF5" s="164"/>
      <c r="AH5" s="164" t="s">
        <v>3</v>
      </c>
      <c r="AI5" s="164"/>
      <c r="AJ5" s="164"/>
    </row>
    <row r="6" spans="2:36" ht="15.75">
      <c r="B6" s="100" t="s">
        <v>0</v>
      </c>
      <c r="C6" s="166">
        <v>114777819</v>
      </c>
      <c r="D6" s="166"/>
      <c r="F6" s="100" t="s">
        <v>0</v>
      </c>
      <c r="G6" s="166">
        <v>54658515</v>
      </c>
      <c r="H6" s="166"/>
      <c r="J6" s="100" t="s">
        <v>0</v>
      </c>
      <c r="K6" s="170">
        <v>33644422</v>
      </c>
      <c r="L6" s="170"/>
      <c r="N6" s="100" t="s">
        <v>0</v>
      </c>
      <c r="O6" s="166">
        <v>114777819</v>
      </c>
      <c r="P6" s="166"/>
      <c r="R6" s="100" t="s">
        <v>0</v>
      </c>
      <c r="S6" s="166">
        <v>54658515</v>
      </c>
      <c r="T6" s="166"/>
      <c r="V6" s="100" t="s">
        <v>0</v>
      </c>
      <c r="W6" s="170">
        <v>33644422</v>
      </c>
      <c r="X6" s="170"/>
      <c r="Z6" s="100" t="s">
        <v>0</v>
      </c>
      <c r="AA6" s="166">
        <v>114777819</v>
      </c>
      <c r="AB6" s="166"/>
      <c r="AD6" s="100" t="s">
        <v>0</v>
      </c>
      <c r="AE6" s="166">
        <v>54658515</v>
      </c>
      <c r="AF6" s="166"/>
      <c r="AH6" s="100" t="s">
        <v>0</v>
      </c>
      <c r="AI6" s="170">
        <v>33644422</v>
      </c>
      <c r="AJ6" s="170"/>
    </row>
    <row r="7" spans="2:36">
      <c r="B7" s="103" t="s">
        <v>205</v>
      </c>
      <c r="C7" s="103" t="s">
        <v>206</v>
      </c>
      <c r="D7" s="103" t="s">
        <v>207</v>
      </c>
      <c r="F7" s="103" t="s">
        <v>205</v>
      </c>
      <c r="G7" s="103" t="s">
        <v>206</v>
      </c>
      <c r="H7" s="103" t="s">
        <v>207</v>
      </c>
      <c r="J7" s="103" t="s">
        <v>205</v>
      </c>
      <c r="K7" s="103" t="s">
        <v>206</v>
      </c>
      <c r="L7" s="103" t="s">
        <v>207</v>
      </c>
      <c r="N7" s="103" t="s">
        <v>205</v>
      </c>
      <c r="O7" s="103" t="s">
        <v>206</v>
      </c>
      <c r="P7" s="103" t="s">
        <v>207</v>
      </c>
      <c r="R7" s="103" t="s">
        <v>205</v>
      </c>
      <c r="S7" s="103" t="s">
        <v>206</v>
      </c>
      <c r="T7" s="103" t="s">
        <v>207</v>
      </c>
      <c r="V7" s="103" t="s">
        <v>205</v>
      </c>
      <c r="W7" s="103" t="s">
        <v>206</v>
      </c>
      <c r="X7" s="103" t="s">
        <v>207</v>
      </c>
      <c r="Z7" s="103" t="s">
        <v>205</v>
      </c>
      <c r="AA7" s="103" t="s">
        <v>206</v>
      </c>
      <c r="AB7" s="103" t="s">
        <v>207</v>
      </c>
      <c r="AD7" s="103" t="s">
        <v>205</v>
      </c>
      <c r="AE7" s="103" t="s">
        <v>206</v>
      </c>
      <c r="AF7" s="103" t="s">
        <v>207</v>
      </c>
      <c r="AH7" s="103" t="s">
        <v>205</v>
      </c>
      <c r="AI7" s="103" t="s">
        <v>206</v>
      </c>
      <c r="AJ7" s="103" t="s">
        <v>207</v>
      </c>
    </row>
    <row r="8" spans="2:36">
      <c r="B8" s="101" t="s">
        <v>208</v>
      </c>
      <c r="C8" s="102">
        <v>0.13</v>
      </c>
      <c r="D8" s="5">
        <f>$C$22*C8</f>
        <v>746055.82350000006</v>
      </c>
      <c r="F8" s="101" t="s">
        <v>208</v>
      </c>
      <c r="G8" s="102">
        <v>0.13</v>
      </c>
      <c r="H8" s="5">
        <f>$G$22*G8</f>
        <v>355280.34750000003</v>
      </c>
      <c r="J8" s="101" t="s">
        <v>208</v>
      </c>
      <c r="K8" s="102">
        <v>0.13</v>
      </c>
      <c r="L8" s="5">
        <f>$K$22*K8</f>
        <v>218688.74300000002</v>
      </c>
      <c r="N8" s="101" t="s">
        <v>208</v>
      </c>
      <c r="O8" s="102">
        <v>0.13</v>
      </c>
      <c r="P8" s="5">
        <f>$O$22*O8</f>
        <v>1492111.6470000001</v>
      </c>
      <c r="R8" s="101" t="s">
        <v>208</v>
      </c>
      <c r="S8" s="102">
        <v>0.13</v>
      </c>
      <c r="T8" s="5">
        <f>$S$22*S8</f>
        <v>710560.69500000007</v>
      </c>
      <c r="V8" s="101" t="s">
        <v>208</v>
      </c>
      <c r="W8" s="102">
        <v>0.13</v>
      </c>
      <c r="X8" s="5">
        <f>$W$22*W8</f>
        <v>437377.48600000003</v>
      </c>
      <c r="Z8" s="101" t="s">
        <v>208</v>
      </c>
      <c r="AA8" s="102">
        <v>0.13</v>
      </c>
      <c r="AB8" s="5">
        <f>$AA$22*AA8</f>
        <v>2238167.4704999998</v>
      </c>
      <c r="AD8" s="101" t="s">
        <v>208</v>
      </c>
      <c r="AE8" s="102">
        <v>0.13</v>
      </c>
      <c r="AF8" s="5">
        <f>$AE$22*AE8</f>
        <v>1065841.0425</v>
      </c>
      <c r="AH8" s="101" t="s">
        <v>208</v>
      </c>
      <c r="AI8" s="102">
        <v>0.13</v>
      </c>
      <c r="AJ8" s="5">
        <f>$AI$22*AI8</f>
        <v>656066.22900000005</v>
      </c>
    </row>
    <row r="9" spans="2:36">
      <c r="B9" s="101" t="s">
        <v>209</v>
      </c>
      <c r="C9" s="102">
        <v>0.05</v>
      </c>
      <c r="D9" s="5">
        <f t="shared" ref="D9:D19" si="0">$C$22*C9</f>
        <v>286944.54750000004</v>
      </c>
      <c r="F9" s="101" t="s">
        <v>209</v>
      </c>
      <c r="G9" s="102">
        <v>0.05</v>
      </c>
      <c r="H9" s="5">
        <f t="shared" ref="H9:H19" si="1">$G$22*G9</f>
        <v>136646.28750000001</v>
      </c>
      <c r="J9" s="101" t="s">
        <v>209</v>
      </c>
      <c r="K9" s="102">
        <v>0.05</v>
      </c>
      <c r="L9" s="5">
        <f t="shared" ref="L9:L19" si="2">$K$22*K9</f>
        <v>84111.055000000008</v>
      </c>
      <c r="N9" s="101" t="s">
        <v>209</v>
      </c>
      <c r="O9" s="102">
        <v>0.05</v>
      </c>
      <c r="P9" s="5">
        <f t="shared" ref="P9:P19" si="3">$O$22*O9</f>
        <v>573889.09500000009</v>
      </c>
      <c r="R9" s="101" t="s">
        <v>209</v>
      </c>
      <c r="S9" s="102">
        <v>0.05</v>
      </c>
      <c r="T9" s="5">
        <f t="shared" ref="T9:T19" si="4">$S$22*S9</f>
        <v>273292.57500000001</v>
      </c>
      <c r="V9" s="101" t="s">
        <v>209</v>
      </c>
      <c r="W9" s="102">
        <v>0.05</v>
      </c>
      <c r="X9" s="5">
        <f t="shared" ref="X9:X19" si="5">$W$22*W9</f>
        <v>168222.11000000002</v>
      </c>
      <c r="Z9" s="101" t="s">
        <v>209</v>
      </c>
      <c r="AA9" s="102">
        <v>0.05</v>
      </c>
      <c r="AB9" s="5">
        <f t="shared" ref="AB9:AB19" si="6">$AA$22*AA9</f>
        <v>860833.64249999996</v>
      </c>
      <c r="AD9" s="101" t="s">
        <v>209</v>
      </c>
      <c r="AE9" s="102">
        <v>0.05</v>
      </c>
      <c r="AF9" s="5">
        <f t="shared" ref="AF9:AF19" si="7">$AE$22*AE9</f>
        <v>409938.86250000005</v>
      </c>
      <c r="AH9" s="101" t="s">
        <v>209</v>
      </c>
      <c r="AI9" s="102">
        <v>0.05</v>
      </c>
      <c r="AJ9" s="5">
        <f t="shared" ref="AJ9:AJ19" si="8">$AI$22*AI9</f>
        <v>252333.16500000001</v>
      </c>
    </row>
    <row r="10" spans="2:36">
      <c r="B10" s="101" t="s">
        <v>210</v>
      </c>
      <c r="C10" s="102">
        <v>0.1</v>
      </c>
      <c r="D10" s="5">
        <f t="shared" si="0"/>
        <v>573889.09500000009</v>
      </c>
      <c r="F10" s="101" t="s">
        <v>210</v>
      </c>
      <c r="G10" s="102">
        <v>0.1</v>
      </c>
      <c r="H10" s="5">
        <f t="shared" si="1"/>
        <v>273292.57500000001</v>
      </c>
      <c r="J10" s="101" t="s">
        <v>210</v>
      </c>
      <c r="K10" s="102">
        <v>0.1</v>
      </c>
      <c r="L10" s="5">
        <f t="shared" si="2"/>
        <v>168222.11000000002</v>
      </c>
      <c r="N10" s="101" t="s">
        <v>210</v>
      </c>
      <c r="O10" s="102">
        <v>0.1</v>
      </c>
      <c r="P10" s="5">
        <f t="shared" si="3"/>
        <v>1147778.1900000002</v>
      </c>
      <c r="R10" s="101" t="s">
        <v>210</v>
      </c>
      <c r="S10" s="102">
        <v>0.1</v>
      </c>
      <c r="T10" s="5">
        <f t="shared" si="4"/>
        <v>546585.15</v>
      </c>
      <c r="V10" s="101" t="s">
        <v>210</v>
      </c>
      <c r="W10" s="102">
        <v>0.1</v>
      </c>
      <c r="X10" s="5">
        <f t="shared" si="5"/>
        <v>336444.22000000003</v>
      </c>
      <c r="Z10" s="101" t="s">
        <v>210</v>
      </c>
      <c r="AA10" s="102">
        <v>0.1</v>
      </c>
      <c r="AB10" s="5">
        <f t="shared" si="6"/>
        <v>1721667.2849999999</v>
      </c>
      <c r="AD10" s="101" t="s">
        <v>210</v>
      </c>
      <c r="AE10" s="102">
        <v>0.1</v>
      </c>
      <c r="AF10" s="5">
        <f t="shared" si="7"/>
        <v>819877.72500000009</v>
      </c>
      <c r="AH10" s="101" t="s">
        <v>210</v>
      </c>
      <c r="AI10" s="102">
        <v>0.1</v>
      </c>
      <c r="AJ10" s="5">
        <f t="shared" si="8"/>
        <v>504666.33</v>
      </c>
    </row>
    <row r="11" spans="2:36">
      <c r="B11" s="101" t="s">
        <v>211</v>
      </c>
      <c r="C11" s="102">
        <v>0.05</v>
      </c>
      <c r="D11" s="5">
        <f t="shared" si="0"/>
        <v>286944.54750000004</v>
      </c>
      <c r="F11" s="101" t="s">
        <v>211</v>
      </c>
      <c r="G11" s="102">
        <v>0.05</v>
      </c>
      <c r="H11" s="5">
        <f t="shared" si="1"/>
        <v>136646.28750000001</v>
      </c>
      <c r="J11" s="101" t="s">
        <v>211</v>
      </c>
      <c r="K11" s="102">
        <v>0.05</v>
      </c>
      <c r="L11" s="5">
        <f t="shared" si="2"/>
        <v>84111.055000000008</v>
      </c>
      <c r="N11" s="101" t="s">
        <v>211</v>
      </c>
      <c r="O11" s="102">
        <v>0.05</v>
      </c>
      <c r="P11" s="5">
        <f t="shared" si="3"/>
        <v>573889.09500000009</v>
      </c>
      <c r="R11" s="101" t="s">
        <v>211</v>
      </c>
      <c r="S11" s="102">
        <v>0.05</v>
      </c>
      <c r="T11" s="5">
        <f t="shared" si="4"/>
        <v>273292.57500000001</v>
      </c>
      <c r="V11" s="101" t="s">
        <v>211</v>
      </c>
      <c r="W11" s="102">
        <v>0.05</v>
      </c>
      <c r="X11" s="5">
        <f t="shared" si="5"/>
        <v>168222.11000000002</v>
      </c>
      <c r="Z11" s="101" t="s">
        <v>211</v>
      </c>
      <c r="AA11" s="102">
        <v>0.05</v>
      </c>
      <c r="AB11" s="5">
        <f t="shared" si="6"/>
        <v>860833.64249999996</v>
      </c>
      <c r="AD11" s="101" t="s">
        <v>211</v>
      </c>
      <c r="AE11" s="102">
        <v>0.05</v>
      </c>
      <c r="AF11" s="5">
        <f t="shared" si="7"/>
        <v>409938.86250000005</v>
      </c>
      <c r="AH11" s="101" t="s">
        <v>211</v>
      </c>
      <c r="AI11" s="102">
        <v>0.05</v>
      </c>
      <c r="AJ11" s="5">
        <f t="shared" si="8"/>
        <v>252333.16500000001</v>
      </c>
    </row>
    <row r="12" spans="2:36">
      <c r="B12" s="101" t="s">
        <v>212</v>
      </c>
      <c r="C12" s="102">
        <v>0.11</v>
      </c>
      <c r="D12" s="5">
        <f t="shared" si="0"/>
        <v>631278.00450000004</v>
      </c>
      <c r="F12" s="101" t="s">
        <v>212</v>
      </c>
      <c r="G12" s="102">
        <v>0.11</v>
      </c>
      <c r="H12" s="5">
        <f t="shared" si="1"/>
        <v>300621.83250000002</v>
      </c>
      <c r="J12" s="101" t="s">
        <v>212</v>
      </c>
      <c r="K12" s="102">
        <v>0.11</v>
      </c>
      <c r="L12" s="5">
        <f t="shared" si="2"/>
        <v>185044.32100000003</v>
      </c>
      <c r="N12" s="101" t="s">
        <v>212</v>
      </c>
      <c r="O12" s="102">
        <v>0.11</v>
      </c>
      <c r="P12" s="5">
        <f t="shared" si="3"/>
        <v>1262556.0090000001</v>
      </c>
      <c r="R12" s="101" t="s">
        <v>212</v>
      </c>
      <c r="S12" s="102">
        <v>0.11</v>
      </c>
      <c r="T12" s="5">
        <f t="shared" si="4"/>
        <v>601243.66500000004</v>
      </c>
      <c r="V12" s="101" t="s">
        <v>212</v>
      </c>
      <c r="W12" s="102">
        <v>0.11</v>
      </c>
      <c r="X12" s="5">
        <f t="shared" si="5"/>
        <v>370088.64200000005</v>
      </c>
      <c r="Z12" s="101" t="s">
        <v>212</v>
      </c>
      <c r="AA12" s="102">
        <v>0.11</v>
      </c>
      <c r="AB12" s="5">
        <f t="shared" si="6"/>
        <v>1893834.0134999997</v>
      </c>
      <c r="AD12" s="101" t="s">
        <v>212</v>
      </c>
      <c r="AE12" s="102">
        <v>0.11</v>
      </c>
      <c r="AF12" s="5">
        <f t="shared" si="7"/>
        <v>901865.49750000006</v>
      </c>
      <c r="AH12" s="101" t="s">
        <v>212</v>
      </c>
      <c r="AI12" s="102">
        <v>0.11</v>
      </c>
      <c r="AJ12" s="5">
        <f t="shared" si="8"/>
        <v>555132.96299999999</v>
      </c>
    </row>
    <row r="13" spans="2:36">
      <c r="B13" s="101" t="s">
        <v>213</v>
      </c>
      <c r="C13" s="102">
        <v>0.09</v>
      </c>
      <c r="D13" s="5">
        <f t="shared" si="0"/>
        <v>516500.18550000002</v>
      </c>
      <c r="F13" s="101" t="s">
        <v>213</v>
      </c>
      <c r="G13" s="102">
        <v>0.09</v>
      </c>
      <c r="H13" s="5">
        <f t="shared" si="1"/>
        <v>245963.3175</v>
      </c>
      <c r="J13" s="101" t="s">
        <v>213</v>
      </c>
      <c r="K13" s="102">
        <v>0.09</v>
      </c>
      <c r="L13" s="5">
        <f t="shared" si="2"/>
        <v>151399.899</v>
      </c>
      <c r="N13" s="101" t="s">
        <v>213</v>
      </c>
      <c r="O13" s="102">
        <v>0.09</v>
      </c>
      <c r="P13" s="5">
        <f t="shared" si="3"/>
        <v>1033000.371</v>
      </c>
      <c r="R13" s="101" t="s">
        <v>213</v>
      </c>
      <c r="S13" s="102">
        <v>0.09</v>
      </c>
      <c r="T13" s="5">
        <f t="shared" si="4"/>
        <v>491926.63500000001</v>
      </c>
      <c r="V13" s="101" t="s">
        <v>213</v>
      </c>
      <c r="W13" s="102">
        <v>0.09</v>
      </c>
      <c r="X13" s="5">
        <f t="shared" si="5"/>
        <v>302799.79800000001</v>
      </c>
      <c r="Z13" s="101" t="s">
        <v>213</v>
      </c>
      <c r="AA13" s="102">
        <v>0.09</v>
      </c>
      <c r="AB13" s="5">
        <f t="shared" si="6"/>
        <v>1549500.5564999997</v>
      </c>
      <c r="AD13" s="101" t="s">
        <v>213</v>
      </c>
      <c r="AE13" s="102">
        <v>0.09</v>
      </c>
      <c r="AF13" s="5">
        <f t="shared" si="7"/>
        <v>737889.95250000001</v>
      </c>
      <c r="AH13" s="101" t="s">
        <v>213</v>
      </c>
      <c r="AI13" s="102">
        <v>0.09</v>
      </c>
      <c r="AJ13" s="5">
        <f t="shared" si="8"/>
        <v>454199.69699999999</v>
      </c>
    </row>
    <row r="14" spans="2:36">
      <c r="B14" s="101" t="s">
        <v>214</v>
      </c>
      <c r="C14" s="102">
        <v>0.05</v>
      </c>
      <c r="D14" s="5">
        <f t="shared" si="0"/>
        <v>286944.54750000004</v>
      </c>
      <c r="F14" s="101" t="s">
        <v>214</v>
      </c>
      <c r="G14" s="102">
        <v>0.05</v>
      </c>
      <c r="H14" s="5">
        <f t="shared" si="1"/>
        <v>136646.28750000001</v>
      </c>
      <c r="J14" s="101" t="s">
        <v>214</v>
      </c>
      <c r="K14" s="102">
        <v>0.05</v>
      </c>
      <c r="L14" s="5">
        <f t="shared" si="2"/>
        <v>84111.055000000008</v>
      </c>
      <c r="N14" s="101" t="s">
        <v>214</v>
      </c>
      <c r="O14" s="102">
        <v>0.05</v>
      </c>
      <c r="P14" s="5">
        <f t="shared" si="3"/>
        <v>573889.09500000009</v>
      </c>
      <c r="R14" s="101" t="s">
        <v>214</v>
      </c>
      <c r="S14" s="102">
        <v>0.05</v>
      </c>
      <c r="T14" s="5">
        <f t="shared" si="4"/>
        <v>273292.57500000001</v>
      </c>
      <c r="V14" s="101" t="s">
        <v>214</v>
      </c>
      <c r="W14" s="102">
        <v>0.05</v>
      </c>
      <c r="X14" s="5">
        <f t="shared" si="5"/>
        <v>168222.11000000002</v>
      </c>
      <c r="Z14" s="101" t="s">
        <v>214</v>
      </c>
      <c r="AA14" s="102">
        <v>0.05</v>
      </c>
      <c r="AB14" s="5">
        <f t="shared" si="6"/>
        <v>860833.64249999996</v>
      </c>
      <c r="AD14" s="101" t="s">
        <v>214</v>
      </c>
      <c r="AE14" s="102">
        <v>0.05</v>
      </c>
      <c r="AF14" s="5">
        <f t="shared" si="7"/>
        <v>409938.86250000005</v>
      </c>
      <c r="AH14" s="101" t="s">
        <v>214</v>
      </c>
      <c r="AI14" s="102">
        <v>0.05</v>
      </c>
      <c r="AJ14" s="5">
        <f t="shared" si="8"/>
        <v>252333.16500000001</v>
      </c>
    </row>
    <row r="15" spans="2:36">
      <c r="B15" s="101" t="s">
        <v>215</v>
      </c>
      <c r="C15" s="102">
        <v>0.05</v>
      </c>
      <c r="D15" s="5">
        <f t="shared" si="0"/>
        <v>286944.54750000004</v>
      </c>
      <c r="F15" s="101" t="s">
        <v>215</v>
      </c>
      <c r="G15" s="102">
        <v>0.05</v>
      </c>
      <c r="H15" s="5">
        <f t="shared" si="1"/>
        <v>136646.28750000001</v>
      </c>
      <c r="J15" s="101" t="s">
        <v>215</v>
      </c>
      <c r="K15" s="102">
        <v>0.05</v>
      </c>
      <c r="L15" s="5">
        <f t="shared" si="2"/>
        <v>84111.055000000008</v>
      </c>
      <c r="N15" s="101" t="s">
        <v>215</v>
      </c>
      <c r="O15" s="102">
        <v>0.05</v>
      </c>
      <c r="P15" s="5">
        <f t="shared" si="3"/>
        <v>573889.09500000009</v>
      </c>
      <c r="R15" s="101" t="s">
        <v>215</v>
      </c>
      <c r="S15" s="102">
        <v>0.05</v>
      </c>
      <c r="T15" s="5">
        <f t="shared" si="4"/>
        <v>273292.57500000001</v>
      </c>
      <c r="V15" s="101" t="s">
        <v>215</v>
      </c>
      <c r="W15" s="102">
        <v>0.05</v>
      </c>
      <c r="X15" s="5">
        <f t="shared" si="5"/>
        <v>168222.11000000002</v>
      </c>
      <c r="Z15" s="101" t="s">
        <v>215</v>
      </c>
      <c r="AA15" s="102">
        <v>0.05</v>
      </c>
      <c r="AB15" s="5">
        <f t="shared" si="6"/>
        <v>860833.64249999996</v>
      </c>
      <c r="AD15" s="101" t="s">
        <v>215</v>
      </c>
      <c r="AE15" s="102">
        <v>0.05</v>
      </c>
      <c r="AF15" s="5">
        <f t="shared" si="7"/>
        <v>409938.86250000005</v>
      </c>
      <c r="AH15" s="101" t="s">
        <v>215</v>
      </c>
      <c r="AI15" s="102">
        <v>0.05</v>
      </c>
      <c r="AJ15" s="5">
        <f t="shared" si="8"/>
        <v>252333.16500000001</v>
      </c>
    </row>
    <row r="16" spans="2:36">
      <c r="B16" s="101" t="s">
        <v>216</v>
      </c>
      <c r="C16" s="102">
        <v>0.06</v>
      </c>
      <c r="D16" s="5">
        <f t="shared" si="0"/>
        <v>344333.45699999999</v>
      </c>
      <c r="F16" s="101" t="s">
        <v>216</v>
      </c>
      <c r="G16" s="102">
        <v>0.06</v>
      </c>
      <c r="H16" s="5">
        <f t="shared" si="1"/>
        <v>163975.54499999998</v>
      </c>
      <c r="J16" s="101" t="s">
        <v>216</v>
      </c>
      <c r="K16" s="102">
        <v>0.06</v>
      </c>
      <c r="L16" s="5">
        <f t="shared" si="2"/>
        <v>100933.266</v>
      </c>
      <c r="N16" s="101" t="s">
        <v>216</v>
      </c>
      <c r="O16" s="102">
        <v>0.06</v>
      </c>
      <c r="P16" s="5">
        <f t="shared" si="3"/>
        <v>688666.91399999999</v>
      </c>
      <c r="R16" s="101" t="s">
        <v>216</v>
      </c>
      <c r="S16" s="102">
        <v>0.06</v>
      </c>
      <c r="T16" s="5">
        <f t="shared" si="4"/>
        <v>327951.08999999997</v>
      </c>
      <c r="V16" s="101" t="s">
        <v>216</v>
      </c>
      <c r="W16" s="102">
        <v>0.06</v>
      </c>
      <c r="X16" s="5">
        <f t="shared" si="5"/>
        <v>201866.53200000001</v>
      </c>
      <c r="Z16" s="101" t="s">
        <v>216</v>
      </c>
      <c r="AA16" s="102">
        <v>0.06</v>
      </c>
      <c r="AB16" s="5">
        <f t="shared" si="6"/>
        <v>1033000.3709999998</v>
      </c>
      <c r="AD16" s="101" t="s">
        <v>216</v>
      </c>
      <c r="AE16" s="102">
        <v>0.06</v>
      </c>
      <c r="AF16" s="5">
        <f t="shared" si="7"/>
        <v>491926.63500000001</v>
      </c>
      <c r="AH16" s="101" t="s">
        <v>216</v>
      </c>
      <c r="AI16" s="102">
        <v>0.06</v>
      </c>
      <c r="AJ16" s="5">
        <f t="shared" si="8"/>
        <v>302799.79799999995</v>
      </c>
    </row>
    <row r="17" spans="2:36">
      <c r="B17" s="101" t="s">
        <v>217</v>
      </c>
      <c r="C17" s="102">
        <v>0.03</v>
      </c>
      <c r="D17" s="5">
        <f t="shared" si="0"/>
        <v>172166.7285</v>
      </c>
      <c r="F17" s="101" t="s">
        <v>217</v>
      </c>
      <c r="G17" s="102">
        <v>0.03</v>
      </c>
      <c r="H17" s="5">
        <f t="shared" si="1"/>
        <v>81987.772499999992</v>
      </c>
      <c r="J17" s="101" t="s">
        <v>217</v>
      </c>
      <c r="K17" s="102">
        <v>0.03</v>
      </c>
      <c r="L17" s="5">
        <f t="shared" si="2"/>
        <v>50466.633000000002</v>
      </c>
      <c r="N17" s="101" t="s">
        <v>217</v>
      </c>
      <c r="O17" s="102">
        <v>0.03</v>
      </c>
      <c r="P17" s="5">
        <f t="shared" si="3"/>
        <v>344333.45699999999</v>
      </c>
      <c r="R17" s="101" t="s">
        <v>217</v>
      </c>
      <c r="S17" s="102">
        <v>0.03</v>
      </c>
      <c r="T17" s="5">
        <f t="shared" si="4"/>
        <v>163975.54499999998</v>
      </c>
      <c r="V17" s="101" t="s">
        <v>217</v>
      </c>
      <c r="W17" s="102">
        <v>0.03</v>
      </c>
      <c r="X17" s="5">
        <f t="shared" si="5"/>
        <v>100933.266</v>
      </c>
      <c r="Z17" s="101" t="s">
        <v>217</v>
      </c>
      <c r="AA17" s="102">
        <v>0.03</v>
      </c>
      <c r="AB17" s="5">
        <f t="shared" si="6"/>
        <v>516500.18549999991</v>
      </c>
      <c r="AD17" s="101" t="s">
        <v>217</v>
      </c>
      <c r="AE17" s="102">
        <v>0.03</v>
      </c>
      <c r="AF17" s="5">
        <f t="shared" si="7"/>
        <v>245963.3175</v>
      </c>
      <c r="AH17" s="101" t="s">
        <v>217</v>
      </c>
      <c r="AI17" s="102">
        <v>0.03</v>
      </c>
      <c r="AJ17" s="5">
        <f t="shared" si="8"/>
        <v>151399.89899999998</v>
      </c>
    </row>
    <row r="18" spans="2:36">
      <c r="B18" s="101" t="s">
        <v>218</v>
      </c>
      <c r="C18" s="102">
        <v>0.2</v>
      </c>
      <c r="D18" s="5">
        <f t="shared" si="0"/>
        <v>1147778.1900000002</v>
      </c>
      <c r="F18" s="101" t="s">
        <v>218</v>
      </c>
      <c r="G18" s="102">
        <v>0.2</v>
      </c>
      <c r="H18" s="5">
        <f t="shared" si="1"/>
        <v>546585.15</v>
      </c>
      <c r="J18" s="101" t="s">
        <v>218</v>
      </c>
      <c r="K18" s="102">
        <v>0.2</v>
      </c>
      <c r="L18" s="5">
        <f t="shared" si="2"/>
        <v>336444.22000000003</v>
      </c>
      <c r="N18" s="101" t="s">
        <v>218</v>
      </c>
      <c r="O18" s="102">
        <v>0.2</v>
      </c>
      <c r="P18" s="5">
        <f t="shared" si="3"/>
        <v>2295556.3800000004</v>
      </c>
      <c r="R18" s="101" t="s">
        <v>218</v>
      </c>
      <c r="S18" s="102">
        <v>0.2</v>
      </c>
      <c r="T18" s="5">
        <f t="shared" si="4"/>
        <v>1093170.3</v>
      </c>
      <c r="V18" s="101" t="s">
        <v>218</v>
      </c>
      <c r="W18" s="102">
        <v>0.2</v>
      </c>
      <c r="X18" s="5">
        <f t="shared" si="5"/>
        <v>672888.44000000006</v>
      </c>
      <c r="Z18" s="101" t="s">
        <v>218</v>
      </c>
      <c r="AA18" s="102">
        <v>0.2</v>
      </c>
      <c r="AB18" s="5">
        <f t="shared" si="6"/>
        <v>3443334.57</v>
      </c>
      <c r="AD18" s="101" t="s">
        <v>218</v>
      </c>
      <c r="AE18" s="102">
        <v>0.2</v>
      </c>
      <c r="AF18" s="5">
        <f t="shared" si="7"/>
        <v>1639755.4500000002</v>
      </c>
      <c r="AH18" s="101" t="s">
        <v>218</v>
      </c>
      <c r="AI18" s="102">
        <v>0.2</v>
      </c>
      <c r="AJ18" s="5">
        <f t="shared" si="8"/>
        <v>1009332.66</v>
      </c>
    </row>
    <row r="19" spans="2:36">
      <c r="B19" s="101" t="s">
        <v>219</v>
      </c>
      <c r="C19" s="102">
        <v>0.08</v>
      </c>
      <c r="D19" s="5">
        <f t="shared" si="0"/>
        <v>459111.27600000001</v>
      </c>
      <c r="F19" s="101" t="s">
        <v>219</v>
      </c>
      <c r="G19" s="102">
        <v>0.08</v>
      </c>
      <c r="H19" s="5">
        <f t="shared" si="1"/>
        <v>218634.06</v>
      </c>
      <c r="J19" s="101" t="s">
        <v>219</v>
      </c>
      <c r="K19" s="102">
        <v>0.08</v>
      </c>
      <c r="L19" s="5">
        <f t="shared" si="2"/>
        <v>134577.68800000002</v>
      </c>
      <c r="N19" s="101" t="s">
        <v>219</v>
      </c>
      <c r="O19" s="102">
        <v>0.08</v>
      </c>
      <c r="P19" s="5">
        <f t="shared" si="3"/>
        <v>918222.55200000003</v>
      </c>
      <c r="R19" s="101" t="s">
        <v>219</v>
      </c>
      <c r="S19" s="102">
        <v>0.08</v>
      </c>
      <c r="T19" s="5">
        <f t="shared" si="4"/>
        <v>437268.12</v>
      </c>
      <c r="V19" s="101" t="s">
        <v>219</v>
      </c>
      <c r="W19" s="102">
        <v>0.08</v>
      </c>
      <c r="X19" s="5">
        <f t="shared" si="5"/>
        <v>269155.37600000005</v>
      </c>
      <c r="Z19" s="101" t="s">
        <v>219</v>
      </c>
      <c r="AA19" s="102">
        <v>0.08</v>
      </c>
      <c r="AB19" s="5">
        <f t="shared" si="6"/>
        <v>1377333.8279999997</v>
      </c>
      <c r="AD19" s="101" t="s">
        <v>219</v>
      </c>
      <c r="AE19" s="102">
        <v>0.08</v>
      </c>
      <c r="AF19" s="5">
        <f t="shared" si="7"/>
        <v>655902.18000000005</v>
      </c>
      <c r="AH19" s="101" t="s">
        <v>219</v>
      </c>
      <c r="AI19" s="102">
        <v>0.08</v>
      </c>
      <c r="AJ19" s="5">
        <f t="shared" si="8"/>
        <v>403733.06400000001</v>
      </c>
    </row>
    <row r="20" spans="2:36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  <c r="R20" s="3"/>
      <c r="S20" s="3"/>
      <c r="T20" s="3"/>
      <c r="V20" s="3"/>
      <c r="W20" s="3"/>
      <c r="X20" s="3"/>
      <c r="Z20" s="3"/>
      <c r="AA20" s="3"/>
      <c r="AB20" s="3"/>
      <c r="AD20" s="3"/>
      <c r="AE20" s="3"/>
      <c r="AF20" s="3"/>
      <c r="AH20" s="3"/>
      <c r="AI20" s="3"/>
      <c r="AJ20" s="3"/>
    </row>
    <row r="21" spans="2:36">
      <c r="B21" s="104" t="s">
        <v>220</v>
      </c>
      <c r="C21" s="5">
        <f>C6</f>
        <v>114777819</v>
      </c>
      <c r="D21" s="3"/>
      <c r="F21" s="104" t="s">
        <v>220</v>
      </c>
      <c r="G21" s="5">
        <f>G6</f>
        <v>54658515</v>
      </c>
      <c r="H21" s="3"/>
      <c r="J21" s="104" t="s">
        <v>220</v>
      </c>
      <c r="K21" s="85">
        <f>K6</f>
        <v>33644422</v>
      </c>
      <c r="L21" s="3"/>
      <c r="N21" s="104" t="s">
        <v>220</v>
      </c>
      <c r="O21" s="5">
        <f>O6</f>
        <v>114777819</v>
      </c>
      <c r="P21" s="3"/>
      <c r="R21" s="104" t="s">
        <v>220</v>
      </c>
      <c r="S21" s="5">
        <f>S6</f>
        <v>54658515</v>
      </c>
      <c r="T21" s="3"/>
      <c r="V21" s="104" t="s">
        <v>220</v>
      </c>
      <c r="W21" s="85">
        <f>W6</f>
        <v>33644422</v>
      </c>
      <c r="X21" s="3"/>
      <c r="Z21" s="104" t="s">
        <v>220</v>
      </c>
      <c r="AA21" s="5">
        <f>AA6</f>
        <v>114777819</v>
      </c>
      <c r="AB21" s="3"/>
      <c r="AD21" s="104" t="s">
        <v>220</v>
      </c>
      <c r="AE21" s="5">
        <f>AE6</f>
        <v>54658515</v>
      </c>
      <c r="AF21" s="3"/>
      <c r="AH21" s="104" t="s">
        <v>220</v>
      </c>
      <c r="AI21" s="85">
        <f>AI6</f>
        <v>33644422</v>
      </c>
      <c r="AJ21" s="3"/>
    </row>
    <row r="22" spans="2:36">
      <c r="B22" s="104" t="s">
        <v>221</v>
      </c>
      <c r="C22" s="5">
        <f>C21*5%</f>
        <v>5738890.9500000002</v>
      </c>
      <c r="D22" s="3"/>
      <c r="F22" s="104" t="s">
        <v>221</v>
      </c>
      <c r="G22" s="5">
        <f>G21*5%</f>
        <v>2732925.75</v>
      </c>
      <c r="H22" s="3"/>
      <c r="J22" s="104" t="s">
        <v>221</v>
      </c>
      <c r="K22" s="5">
        <f>K21*5%</f>
        <v>1682221.1</v>
      </c>
      <c r="L22" s="3"/>
      <c r="N22" s="104" t="s">
        <v>222</v>
      </c>
      <c r="O22" s="5">
        <f>O21*10%</f>
        <v>11477781.9</v>
      </c>
      <c r="P22" s="3"/>
      <c r="R22" s="104" t="s">
        <v>222</v>
      </c>
      <c r="S22" s="5">
        <f>S21*10%</f>
        <v>5465851.5</v>
      </c>
      <c r="T22" s="3"/>
      <c r="V22" s="104" t="s">
        <v>222</v>
      </c>
      <c r="W22" s="5">
        <f>W21*10%</f>
        <v>3364442.2</v>
      </c>
      <c r="X22" s="3"/>
      <c r="Z22" s="104" t="s">
        <v>223</v>
      </c>
      <c r="AA22" s="5">
        <f>AA21*15%</f>
        <v>17216672.849999998</v>
      </c>
      <c r="AB22" s="3"/>
      <c r="AD22" s="104" t="s">
        <v>223</v>
      </c>
      <c r="AE22" s="5">
        <f>AE21*15%</f>
        <v>8198777.25</v>
      </c>
      <c r="AF22" s="3"/>
      <c r="AH22" s="104" t="s">
        <v>223</v>
      </c>
      <c r="AI22" s="5">
        <f>AI21*15%</f>
        <v>5046663.3</v>
      </c>
      <c r="AJ22" s="3"/>
    </row>
  </sheetData>
  <mergeCells count="23">
    <mergeCell ref="Z4:AJ4"/>
    <mergeCell ref="Z5:AB5"/>
    <mergeCell ref="AD5:AF5"/>
    <mergeCell ref="AH5:AJ5"/>
    <mergeCell ref="AA6:AB6"/>
    <mergeCell ref="AE6:AF6"/>
    <mergeCell ref="AI6:AJ6"/>
    <mergeCell ref="O6:P6"/>
    <mergeCell ref="B1:S1"/>
    <mergeCell ref="B2:S2"/>
    <mergeCell ref="B4:L4"/>
    <mergeCell ref="N4:X4"/>
    <mergeCell ref="N5:P5"/>
    <mergeCell ref="R5:T5"/>
    <mergeCell ref="V5:X5"/>
    <mergeCell ref="J5:L5"/>
    <mergeCell ref="K6:L6"/>
    <mergeCell ref="F5:H5"/>
    <mergeCell ref="G6:H6"/>
    <mergeCell ref="B5:D5"/>
    <mergeCell ref="C6:D6"/>
    <mergeCell ref="S6:T6"/>
    <mergeCell ref="W6:X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24"/>
  <sheetViews>
    <sheetView zoomScaleNormal="100" workbookViewId="0">
      <selection activeCell="C7" sqref="C7:G7"/>
    </sheetView>
  </sheetViews>
  <sheetFormatPr defaultRowHeight="15"/>
  <cols>
    <col min="2" max="2" width="18.85546875" bestFit="1" customWidth="1"/>
    <col min="3" max="3" width="16.85546875" bestFit="1" customWidth="1"/>
    <col min="4" max="4" width="20.42578125" bestFit="1" customWidth="1"/>
    <col min="5" max="5" width="22.28515625" bestFit="1" customWidth="1"/>
    <col min="6" max="6" width="19.140625" bestFit="1" customWidth="1"/>
    <col min="7" max="7" width="17" bestFit="1" customWidth="1"/>
    <col min="8" max="8" width="17" customWidth="1"/>
    <col min="9" max="10" width="16.85546875" bestFit="1" customWidth="1"/>
    <col min="11" max="11" width="20.42578125" bestFit="1" customWidth="1"/>
    <col min="12" max="12" width="22.28515625" bestFit="1" customWidth="1"/>
    <col min="13" max="13" width="19.140625" bestFit="1" customWidth="1"/>
    <col min="14" max="14" width="20.42578125" bestFit="1" customWidth="1"/>
    <col min="15" max="15" width="20.42578125" customWidth="1"/>
    <col min="16" max="16" width="26.140625" bestFit="1" customWidth="1"/>
    <col min="17" max="17" width="16.85546875" bestFit="1" customWidth="1"/>
    <col min="18" max="18" width="20.42578125" bestFit="1" customWidth="1"/>
    <col min="19" max="19" width="22.28515625" bestFit="1" customWidth="1"/>
    <col min="20" max="20" width="19.140625" bestFit="1" customWidth="1"/>
    <col min="21" max="21" width="17" bestFit="1" customWidth="1"/>
  </cols>
  <sheetData>
    <row r="2" spans="2:21" ht="15.75">
      <c r="B2" s="86" t="s">
        <v>0</v>
      </c>
      <c r="C2" s="87"/>
      <c r="I2" s="86" t="s">
        <v>0</v>
      </c>
      <c r="J2" s="87"/>
      <c r="P2" s="86" t="s">
        <v>0</v>
      </c>
      <c r="Q2" s="88"/>
    </row>
    <row r="3" spans="2:21" ht="15.75">
      <c r="B3" s="88" t="s">
        <v>1</v>
      </c>
      <c r="C3" s="89">
        <v>114777819</v>
      </c>
      <c r="F3" s="90"/>
      <c r="I3" s="88" t="s">
        <v>2</v>
      </c>
      <c r="J3" s="89">
        <v>54658515</v>
      </c>
      <c r="P3" s="88" t="s">
        <v>3</v>
      </c>
      <c r="Q3" s="92">
        <v>33644422</v>
      </c>
    </row>
    <row r="5" spans="2:21">
      <c r="B5" s="35"/>
      <c r="C5" s="143" t="s">
        <v>19</v>
      </c>
      <c r="D5" s="143"/>
      <c r="E5" s="143"/>
      <c r="F5" s="143"/>
      <c r="G5" s="143"/>
      <c r="H5" s="65"/>
      <c r="I5" s="35"/>
      <c r="J5" s="142" t="s">
        <v>2</v>
      </c>
      <c r="K5" s="142"/>
      <c r="L5" s="142"/>
      <c r="M5" s="142"/>
      <c r="N5" s="142"/>
      <c r="O5" s="67"/>
      <c r="P5" s="35"/>
      <c r="Q5" s="142" t="s">
        <v>20</v>
      </c>
      <c r="R5" s="142"/>
      <c r="S5" s="142"/>
      <c r="T5" s="142"/>
      <c r="U5" s="142"/>
    </row>
    <row r="6" spans="2:21">
      <c r="B6" s="30"/>
      <c r="C6" s="29" t="s">
        <v>21</v>
      </c>
      <c r="D6" s="29" t="s">
        <v>22</v>
      </c>
      <c r="E6" s="29" t="s">
        <v>23</v>
      </c>
      <c r="F6" s="29" t="s">
        <v>24</v>
      </c>
      <c r="G6" s="29" t="s">
        <v>25</v>
      </c>
      <c r="H6" s="64"/>
      <c r="I6" s="30"/>
      <c r="J6" s="30" t="s">
        <v>21</v>
      </c>
      <c r="K6" s="30" t="s">
        <v>22</v>
      </c>
      <c r="L6" s="30" t="s">
        <v>23</v>
      </c>
      <c r="M6" s="30" t="s">
        <v>24</v>
      </c>
      <c r="N6" s="30" t="s">
        <v>25</v>
      </c>
      <c r="O6" s="68"/>
      <c r="P6" s="30"/>
      <c r="Q6" s="30" t="s">
        <v>21</v>
      </c>
      <c r="R6" s="30" t="s">
        <v>22</v>
      </c>
      <c r="S6" s="30" t="s">
        <v>23</v>
      </c>
      <c r="T6" s="30" t="s">
        <v>24</v>
      </c>
      <c r="U6" s="30" t="s">
        <v>25</v>
      </c>
    </row>
    <row r="7" spans="2:21">
      <c r="B7" s="3" t="s">
        <v>9</v>
      </c>
      <c r="C7" s="10">
        <v>1</v>
      </c>
      <c r="D7" s="10">
        <v>10</v>
      </c>
      <c r="E7" s="10">
        <v>10</v>
      </c>
      <c r="F7" s="10">
        <v>5000</v>
      </c>
      <c r="G7" s="12">
        <f>E7*F7</f>
        <v>50000</v>
      </c>
      <c r="H7" s="60"/>
      <c r="I7" s="3" t="s">
        <v>9</v>
      </c>
      <c r="J7" s="3">
        <v>1</v>
      </c>
      <c r="K7" s="3">
        <v>10</v>
      </c>
      <c r="L7" s="3">
        <v>10</v>
      </c>
      <c r="M7" s="3">
        <v>5000</v>
      </c>
      <c r="N7" s="4">
        <f>L7*M7</f>
        <v>50000</v>
      </c>
      <c r="O7" s="66"/>
      <c r="P7" s="3" t="s">
        <v>9</v>
      </c>
      <c r="Q7" s="3">
        <v>1</v>
      </c>
      <c r="R7" s="3">
        <v>10</v>
      </c>
      <c r="S7" s="3">
        <v>10</v>
      </c>
      <c r="T7" s="3">
        <v>5000</v>
      </c>
      <c r="U7" s="4">
        <f>S7*T7</f>
        <v>50000</v>
      </c>
    </row>
    <row r="8" spans="2:21">
      <c r="B8" s="3" t="s">
        <v>10</v>
      </c>
      <c r="C8" s="58">
        <f>G8/F7</f>
        <v>22955.5638</v>
      </c>
      <c r="D8" s="58">
        <f>C8*D7</f>
        <v>229555.63800000001</v>
      </c>
      <c r="E8" s="58">
        <f>D8</f>
        <v>229555.63800000001</v>
      </c>
      <c r="F8" s="58">
        <f>C8*F7</f>
        <v>114777819</v>
      </c>
      <c r="G8" s="59">
        <f>C3</f>
        <v>114777819</v>
      </c>
      <c r="H8" s="61"/>
      <c r="I8" s="3" t="s">
        <v>10</v>
      </c>
      <c r="J8" s="58">
        <f>N8/M7</f>
        <v>10931.703</v>
      </c>
      <c r="K8" s="58">
        <f>J8*K7</f>
        <v>109317.03</v>
      </c>
      <c r="L8" s="58">
        <f>K8</f>
        <v>109317.03</v>
      </c>
      <c r="M8" s="58">
        <f>J8*M7</f>
        <v>54658515</v>
      </c>
      <c r="N8" s="42">
        <f>J3</f>
        <v>54658515</v>
      </c>
      <c r="O8" s="43"/>
      <c r="P8" s="3" t="s">
        <v>10</v>
      </c>
      <c r="Q8" s="58">
        <f>U8/T7</f>
        <v>6728.8843999999999</v>
      </c>
      <c r="R8" s="58">
        <f>Q8*R7</f>
        <v>67288.843999999997</v>
      </c>
      <c r="S8" s="58">
        <f>R8</f>
        <v>67288.843999999997</v>
      </c>
      <c r="T8" s="58">
        <f>Q8*T7</f>
        <v>33644422</v>
      </c>
      <c r="U8" s="42">
        <f>Q3</f>
        <v>33644422</v>
      </c>
    </row>
    <row r="9" spans="2:21">
      <c r="B9" s="3" t="s">
        <v>26</v>
      </c>
      <c r="C9" s="58">
        <f>G9/F7</f>
        <v>3443.3345699999995</v>
      </c>
      <c r="D9" s="58">
        <f>C9*D7</f>
        <v>34433.345699999998</v>
      </c>
      <c r="E9" s="58">
        <f>D9</f>
        <v>34433.345699999998</v>
      </c>
      <c r="F9" s="94">
        <f>C9*F7</f>
        <v>17216672.849999998</v>
      </c>
      <c r="G9" s="58">
        <f>G8*15%</f>
        <v>17216672.849999998</v>
      </c>
      <c r="H9" s="62"/>
      <c r="I9" s="3" t="s">
        <v>26</v>
      </c>
      <c r="J9" s="58">
        <f>N9/M7</f>
        <v>1639.7554500000001</v>
      </c>
      <c r="K9" s="58">
        <f>J9*K7</f>
        <v>16397.554500000002</v>
      </c>
      <c r="L9" s="58">
        <f>K9</f>
        <v>16397.554500000002</v>
      </c>
      <c r="M9" s="94">
        <f>J9*M7</f>
        <v>8198777.2500000009</v>
      </c>
      <c r="N9" s="58">
        <f>N8*15%</f>
        <v>8198777.25</v>
      </c>
      <c r="O9" s="2"/>
      <c r="P9" s="3" t="s">
        <v>26</v>
      </c>
      <c r="Q9" s="58">
        <f>U9/T7</f>
        <v>1009.3326599999999</v>
      </c>
      <c r="R9" s="58">
        <f>Q9*R7</f>
        <v>10093.326599999999</v>
      </c>
      <c r="S9" s="58">
        <f>R9</f>
        <v>10093.326599999999</v>
      </c>
      <c r="T9" s="94">
        <f>Q9*T7</f>
        <v>5046663.3</v>
      </c>
      <c r="U9" s="58">
        <f>U8*15%</f>
        <v>5046663.3</v>
      </c>
    </row>
    <row r="10" spans="2:21">
      <c r="B10" s="3"/>
      <c r="C10" s="58"/>
      <c r="D10" s="58"/>
      <c r="E10" s="58"/>
      <c r="F10" s="10"/>
      <c r="G10" s="58"/>
      <c r="H10" s="62"/>
      <c r="I10" s="3"/>
      <c r="J10" s="5"/>
      <c r="K10" s="5"/>
      <c r="L10" s="5"/>
      <c r="M10" s="3"/>
      <c r="N10" s="5"/>
      <c r="O10" s="2"/>
      <c r="P10" s="3"/>
      <c r="Q10" s="5"/>
      <c r="R10" s="5"/>
      <c r="S10" s="5"/>
      <c r="T10" s="3"/>
      <c r="U10" s="5"/>
    </row>
    <row r="11" spans="2:21">
      <c r="B11" s="3"/>
      <c r="C11" s="144">
        <f>C3</f>
        <v>114777819</v>
      </c>
      <c r="D11" s="145"/>
      <c r="E11" s="11">
        <v>1</v>
      </c>
      <c r="F11" s="58">
        <f>C11/5000</f>
        <v>22955.5638</v>
      </c>
      <c r="G11" s="10"/>
      <c r="H11" s="63"/>
      <c r="I11" s="3"/>
      <c r="J11" s="123">
        <f>J3</f>
        <v>54658515</v>
      </c>
      <c r="K11" s="123"/>
      <c r="L11" s="11">
        <v>1</v>
      </c>
      <c r="M11" s="5">
        <f>J11/5000</f>
        <v>10931.703</v>
      </c>
      <c r="N11" s="3"/>
      <c r="P11" s="3"/>
      <c r="Q11" s="123">
        <f>Q3</f>
        <v>33644422</v>
      </c>
      <c r="R11" s="123"/>
      <c r="S11" s="11">
        <v>1</v>
      </c>
      <c r="T11" s="5">
        <f>Q11/5000</f>
        <v>6728.8843999999999</v>
      </c>
      <c r="U11" s="3"/>
    </row>
    <row r="12" spans="2:21">
      <c r="B12" s="3"/>
      <c r="C12" s="146">
        <f>C11*E12</f>
        <v>17216672.849999998</v>
      </c>
      <c r="D12" s="146"/>
      <c r="E12" s="11">
        <v>0.15</v>
      </c>
      <c r="F12" s="58">
        <f>C12/5000</f>
        <v>3443.3345699999995</v>
      </c>
      <c r="G12" s="10"/>
      <c r="H12" s="63"/>
      <c r="I12" s="3"/>
      <c r="J12" s="123">
        <f>J11*L12</f>
        <v>8198777.25</v>
      </c>
      <c r="K12" s="123"/>
      <c r="L12" s="11">
        <v>0.15</v>
      </c>
      <c r="M12" s="5">
        <f>J12/5000</f>
        <v>1639.7554500000001</v>
      </c>
      <c r="N12" s="3"/>
      <c r="P12" s="3"/>
      <c r="Q12" s="123">
        <f>Q11*S12</f>
        <v>5046663.3</v>
      </c>
      <c r="R12" s="123"/>
      <c r="S12" s="11">
        <v>0.15</v>
      </c>
      <c r="T12" s="5">
        <f>Q12/5000</f>
        <v>1009.3326599999999</v>
      </c>
      <c r="U12" s="3"/>
    </row>
    <row r="14" spans="2:21">
      <c r="C14" s="142" t="s">
        <v>27</v>
      </c>
      <c r="D14" s="142"/>
      <c r="E14" s="142"/>
      <c r="F14" s="142"/>
      <c r="J14" s="139" t="s">
        <v>27</v>
      </c>
      <c r="K14" s="140"/>
      <c r="L14" s="140"/>
      <c r="M14" s="141"/>
      <c r="Q14" s="142" t="s">
        <v>27</v>
      </c>
      <c r="R14" s="142"/>
      <c r="S14" s="142"/>
      <c r="T14" s="142"/>
    </row>
    <row r="15" spans="2:21">
      <c r="C15" s="29"/>
      <c r="D15" s="29" t="s">
        <v>28</v>
      </c>
      <c r="E15" s="29" t="s">
        <v>29</v>
      </c>
      <c r="F15" s="29" t="s">
        <v>30</v>
      </c>
      <c r="H15" s="2"/>
      <c r="J15" s="30"/>
      <c r="K15" s="30" t="s">
        <v>28</v>
      </c>
      <c r="L15" s="30" t="s">
        <v>29</v>
      </c>
      <c r="M15" s="30" t="s">
        <v>30</v>
      </c>
      <c r="Q15" s="31"/>
      <c r="R15" s="30" t="s">
        <v>28</v>
      </c>
      <c r="S15" s="30" t="s">
        <v>29</v>
      </c>
      <c r="T15" s="30" t="s">
        <v>30</v>
      </c>
    </row>
    <row r="16" spans="2:21">
      <c r="C16" s="3" t="s">
        <v>9</v>
      </c>
      <c r="D16" s="3">
        <v>1</v>
      </c>
      <c r="E16" s="13">
        <v>21000</v>
      </c>
      <c r="F16" s="3">
        <v>577.48</v>
      </c>
      <c r="J16" s="3" t="s">
        <v>9</v>
      </c>
      <c r="K16" s="3">
        <v>1</v>
      </c>
      <c r="L16" s="9">
        <v>21000</v>
      </c>
      <c r="M16" s="9">
        <v>577.48</v>
      </c>
      <c r="Q16" s="3" t="s">
        <v>9</v>
      </c>
      <c r="R16" s="3">
        <v>1</v>
      </c>
      <c r="S16" s="3">
        <v>21000</v>
      </c>
      <c r="T16" s="3">
        <v>577.48</v>
      </c>
    </row>
    <row r="17" spans="3:20">
      <c r="C17" s="3" t="s">
        <v>10</v>
      </c>
      <c r="D17" s="5">
        <f>C8</f>
        <v>22955.5638</v>
      </c>
      <c r="E17" s="50">
        <f>D17*E16</f>
        <v>482066839.80000001</v>
      </c>
      <c r="F17" s="5">
        <f>D17*F16</f>
        <v>13256378.983224001</v>
      </c>
      <c r="H17">
        <f>525000/25</f>
        <v>21000</v>
      </c>
      <c r="J17" s="3" t="s">
        <v>10</v>
      </c>
      <c r="K17" s="5">
        <f>J8</f>
        <v>10931.703</v>
      </c>
      <c r="L17" s="9">
        <f>K17*L16</f>
        <v>229565763</v>
      </c>
      <c r="M17" s="9">
        <f>K17*M16</f>
        <v>6312839.8484399999</v>
      </c>
      <c r="Q17" s="3" t="s">
        <v>10</v>
      </c>
      <c r="R17" s="5">
        <f>Q8</f>
        <v>6728.8843999999999</v>
      </c>
      <c r="S17" s="5">
        <f>R17*S16</f>
        <v>141306572.40000001</v>
      </c>
      <c r="T17" s="5">
        <f>R17*T16</f>
        <v>3885796.1633120002</v>
      </c>
    </row>
    <row r="18" spans="3:20">
      <c r="C18" s="3" t="s">
        <v>26</v>
      </c>
      <c r="D18" s="5">
        <f>C9</f>
        <v>3443.3345699999995</v>
      </c>
      <c r="E18" s="50">
        <f>D18*E16</f>
        <v>72310025.969999984</v>
      </c>
      <c r="F18" s="5">
        <f>D18*F16</f>
        <v>1988456.8474835998</v>
      </c>
      <c r="J18" s="3" t="s">
        <v>26</v>
      </c>
      <c r="K18" s="5">
        <f>J9</f>
        <v>1639.7554500000001</v>
      </c>
      <c r="L18" s="9">
        <f>K18*L16</f>
        <v>34434864.450000003</v>
      </c>
      <c r="M18" s="9">
        <f>K18*M16</f>
        <v>946925.97726600012</v>
      </c>
      <c r="N18" s="2"/>
      <c r="O18" s="2"/>
      <c r="Q18" s="3" t="s">
        <v>26</v>
      </c>
      <c r="R18" s="5">
        <f>Q9</f>
        <v>1009.3326599999999</v>
      </c>
      <c r="S18" s="5">
        <f>R18*S16</f>
        <v>21195985.859999999</v>
      </c>
      <c r="T18" s="5">
        <f>R18*T16</f>
        <v>582869.42449679994</v>
      </c>
    </row>
    <row r="19" spans="3:20">
      <c r="C19" s="3"/>
      <c r="D19" s="3"/>
      <c r="E19" s="3"/>
      <c r="F19" s="3"/>
      <c r="J19" s="3"/>
      <c r="K19" s="3"/>
      <c r="L19" s="3"/>
      <c r="M19" s="3"/>
      <c r="Q19" s="3"/>
      <c r="R19" s="3"/>
      <c r="S19" s="3"/>
      <c r="T19" s="3"/>
    </row>
    <row r="20" spans="3:20">
      <c r="C20" s="142" t="s">
        <v>31</v>
      </c>
      <c r="D20" s="142"/>
      <c r="E20" s="142"/>
      <c r="F20" s="142"/>
      <c r="J20" s="139" t="s">
        <v>31</v>
      </c>
      <c r="K20" s="140"/>
      <c r="L20" s="140"/>
      <c r="M20" s="141"/>
      <c r="Q20" s="142" t="s">
        <v>31</v>
      </c>
      <c r="R20" s="142"/>
      <c r="S20" s="142"/>
      <c r="T20" s="142"/>
    </row>
    <row r="21" spans="3:20">
      <c r="C21" s="30"/>
      <c r="D21" s="30" t="s">
        <v>32</v>
      </c>
      <c r="E21" s="30" t="s">
        <v>33</v>
      </c>
      <c r="F21" s="30" t="s">
        <v>34</v>
      </c>
      <c r="J21" s="30"/>
      <c r="K21" s="30" t="s">
        <v>32</v>
      </c>
      <c r="L21" s="30" t="s">
        <v>33</v>
      </c>
      <c r="M21" s="30" t="s">
        <v>34</v>
      </c>
      <c r="Q21" s="31"/>
      <c r="R21" s="30" t="s">
        <v>32</v>
      </c>
      <c r="S21" s="30" t="s">
        <v>33</v>
      </c>
      <c r="T21" s="30" t="s">
        <v>34</v>
      </c>
    </row>
    <row r="22" spans="3:20">
      <c r="C22" s="3" t="s">
        <v>9</v>
      </c>
      <c r="D22" s="9">
        <v>15000</v>
      </c>
      <c r="E22" s="9">
        <v>80000</v>
      </c>
      <c r="F22" s="9">
        <v>68500</v>
      </c>
      <c r="J22" s="3" t="s">
        <v>9</v>
      </c>
      <c r="K22" s="9">
        <v>15000</v>
      </c>
      <c r="L22" s="9">
        <v>80000</v>
      </c>
      <c r="M22" s="9">
        <v>68500</v>
      </c>
      <c r="Q22" s="3" t="s">
        <v>9</v>
      </c>
      <c r="R22" s="9">
        <v>15000</v>
      </c>
      <c r="S22" s="9">
        <v>80000</v>
      </c>
      <c r="T22" s="9">
        <v>68500</v>
      </c>
    </row>
    <row r="23" spans="3:20">
      <c r="C23" s="3" t="s">
        <v>10</v>
      </c>
      <c r="D23" s="9">
        <f>C8*D22</f>
        <v>344333457</v>
      </c>
      <c r="E23" s="9">
        <f>C8*E22</f>
        <v>1836445104</v>
      </c>
      <c r="F23" s="9">
        <f>C8*F22</f>
        <v>1572456120.3</v>
      </c>
      <c r="J23" s="3" t="s">
        <v>10</v>
      </c>
      <c r="K23" s="9">
        <f>J8*K22</f>
        <v>163975545</v>
      </c>
      <c r="L23" s="9">
        <f>J8*L22</f>
        <v>874536240</v>
      </c>
      <c r="M23" s="9">
        <f>J8*M22</f>
        <v>748821655.5</v>
      </c>
      <c r="Q23" s="3" t="s">
        <v>10</v>
      </c>
      <c r="R23" s="9">
        <f>Q8*R22</f>
        <v>100933266</v>
      </c>
      <c r="S23" s="9">
        <f>Q8*S22</f>
        <v>538310752</v>
      </c>
      <c r="T23" s="9">
        <f>Q8*T22</f>
        <v>460928581.39999998</v>
      </c>
    </row>
    <row r="24" spans="3:20">
      <c r="C24" s="3" t="s">
        <v>26</v>
      </c>
      <c r="D24" s="9">
        <f>C9*D22</f>
        <v>51650018.54999999</v>
      </c>
      <c r="E24" s="9">
        <f>C9*E22</f>
        <v>275466765.59999996</v>
      </c>
      <c r="F24" s="9">
        <f>C9*F22</f>
        <v>235868418.04499996</v>
      </c>
      <c r="J24" s="3" t="s">
        <v>26</v>
      </c>
      <c r="K24" s="9">
        <f>J9*K22</f>
        <v>24596331.75</v>
      </c>
      <c r="L24" s="9">
        <f>J9*L22</f>
        <v>131180436.00000001</v>
      </c>
      <c r="M24" s="9">
        <f>J9*M22</f>
        <v>112323248.325</v>
      </c>
      <c r="Q24" s="3" t="s">
        <v>26</v>
      </c>
      <c r="R24" s="9">
        <f>Q9*R22</f>
        <v>15139989.899999999</v>
      </c>
      <c r="S24" s="9">
        <f>Q9*S22</f>
        <v>80746612.799999997</v>
      </c>
      <c r="T24" s="9">
        <f>Q9*T22</f>
        <v>69139287.209999993</v>
      </c>
    </row>
  </sheetData>
  <mergeCells count="15">
    <mergeCell ref="J20:M20"/>
    <mergeCell ref="Q20:T20"/>
    <mergeCell ref="C20:F20"/>
    <mergeCell ref="C5:G5"/>
    <mergeCell ref="C11:D11"/>
    <mergeCell ref="C12:D12"/>
    <mergeCell ref="J14:M14"/>
    <mergeCell ref="Q14:T14"/>
    <mergeCell ref="C14:F14"/>
    <mergeCell ref="J5:N5"/>
    <mergeCell ref="J11:K11"/>
    <mergeCell ref="J12:K12"/>
    <mergeCell ref="Q5:U5"/>
    <mergeCell ref="Q11:R11"/>
    <mergeCell ref="Q12:R1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EDBA-01D2-466C-8B94-10DF8D9EB75F}">
  <dimension ref="A1:AE9"/>
  <sheetViews>
    <sheetView topLeftCell="A12" workbookViewId="0">
      <selection activeCell="Q12" sqref="Q12"/>
    </sheetView>
  </sheetViews>
  <sheetFormatPr defaultRowHeight="15"/>
  <cols>
    <col min="1" max="1" width="18" bestFit="1" customWidth="1"/>
    <col min="2" max="2" width="12.7109375" customWidth="1"/>
    <col min="3" max="3" width="17" bestFit="1" customWidth="1"/>
    <col min="4" max="4" width="16.5703125" bestFit="1" customWidth="1"/>
    <col min="5" max="5" width="9.7109375" bestFit="1" customWidth="1"/>
    <col min="6" max="6" width="14.42578125" bestFit="1" customWidth="1"/>
    <col min="7" max="7" width="24.140625" bestFit="1" customWidth="1"/>
    <col min="8" max="8" width="36.28515625" bestFit="1" customWidth="1"/>
    <col min="9" max="9" width="20.42578125" bestFit="1" customWidth="1"/>
    <col min="10" max="10" width="20.42578125" customWidth="1"/>
    <col min="11" max="11" width="38" bestFit="1" customWidth="1"/>
    <col min="12" max="12" width="30.5703125" bestFit="1" customWidth="1"/>
    <col min="13" max="13" width="15.42578125" bestFit="1" customWidth="1"/>
    <col min="14" max="14" width="12.5703125" bestFit="1" customWidth="1"/>
    <col min="15" max="15" width="28" bestFit="1" customWidth="1"/>
    <col min="16" max="16" width="35.28515625" bestFit="1" customWidth="1"/>
    <col min="17" max="17" width="36.85546875" bestFit="1" customWidth="1"/>
    <col min="18" max="18" width="20.42578125" bestFit="1" customWidth="1"/>
    <col min="19" max="19" width="20.42578125" customWidth="1"/>
    <col min="20" max="20" width="20.140625" bestFit="1" customWidth="1"/>
    <col min="21" max="21" width="20.140625" customWidth="1"/>
    <col min="22" max="22" width="32" bestFit="1" customWidth="1"/>
    <col min="23" max="23" width="41.42578125" bestFit="1" customWidth="1"/>
    <col min="24" max="24" width="44.85546875" bestFit="1" customWidth="1"/>
    <col min="25" max="25" width="19.140625" customWidth="1"/>
    <col min="26" max="26" width="12" bestFit="1" customWidth="1"/>
    <col min="27" max="27" width="12.42578125" bestFit="1" customWidth="1"/>
    <col min="28" max="28" width="14.140625" bestFit="1" customWidth="1"/>
    <col min="29" max="29" width="50.5703125" bestFit="1" customWidth="1"/>
    <col min="30" max="30" width="51" bestFit="1" customWidth="1"/>
    <col min="31" max="31" width="46.5703125" bestFit="1" customWidth="1"/>
  </cols>
  <sheetData>
    <row r="1" spans="1:31">
      <c r="A1" s="3" t="s">
        <v>35</v>
      </c>
      <c r="B1" s="3" t="s">
        <v>0</v>
      </c>
      <c r="C1" s="3" t="s">
        <v>4</v>
      </c>
      <c r="D1" s="3" t="s">
        <v>36</v>
      </c>
      <c r="E1" s="116" t="s">
        <v>7</v>
      </c>
      <c r="F1" s="3" t="s">
        <v>37</v>
      </c>
      <c r="G1" s="112" t="s">
        <v>38</v>
      </c>
      <c r="H1" s="112" t="s">
        <v>39</v>
      </c>
      <c r="I1" s="116" t="s">
        <v>40</v>
      </c>
      <c r="J1" s="3" t="s">
        <v>41</v>
      </c>
      <c r="K1" s="112" t="s">
        <v>42</v>
      </c>
      <c r="L1" s="112" t="s">
        <v>43</v>
      </c>
      <c r="M1" s="115" t="s">
        <v>21</v>
      </c>
      <c r="N1" s="10" t="s">
        <v>22</v>
      </c>
      <c r="O1" s="10" t="s">
        <v>44</v>
      </c>
      <c r="P1" s="111" t="s">
        <v>45</v>
      </c>
      <c r="Q1" s="111" t="s">
        <v>46</v>
      </c>
      <c r="R1" s="115" t="s">
        <v>47</v>
      </c>
      <c r="S1" s="10" t="s">
        <v>48</v>
      </c>
      <c r="T1" s="10" t="s">
        <v>49</v>
      </c>
      <c r="U1" s="10" t="s">
        <v>50</v>
      </c>
      <c r="V1" s="111" t="s">
        <v>51</v>
      </c>
      <c r="W1" s="111" t="s">
        <v>52</v>
      </c>
      <c r="X1" s="111" t="s">
        <v>53</v>
      </c>
      <c r="Y1" s="115" t="s">
        <v>21</v>
      </c>
      <c r="Z1" s="3" t="s">
        <v>32</v>
      </c>
      <c r="AA1" s="3" t="s">
        <v>33</v>
      </c>
      <c r="AB1" s="3" t="s">
        <v>54</v>
      </c>
      <c r="AC1" s="112" t="s">
        <v>55</v>
      </c>
      <c r="AD1" s="112" t="s">
        <v>56</v>
      </c>
      <c r="AE1" s="112" t="s">
        <v>57</v>
      </c>
    </row>
    <row r="2" spans="1:31">
      <c r="A2" s="3" t="s">
        <v>58</v>
      </c>
      <c r="B2" s="106">
        <v>114777819</v>
      </c>
      <c r="C2" s="8">
        <v>150000000</v>
      </c>
      <c r="D2" s="105">
        <v>17216672.850000001</v>
      </c>
      <c r="E2" s="3">
        <v>1</v>
      </c>
      <c r="F2" s="8">
        <v>1256000</v>
      </c>
      <c r="G2" s="105">
        <v>13172.66</v>
      </c>
      <c r="H2" s="8">
        <f>G2*F2</f>
        <v>16544860960</v>
      </c>
      <c r="I2" s="3">
        <v>1</v>
      </c>
      <c r="J2" s="107">
        <v>150000</v>
      </c>
      <c r="K2" s="108">
        <v>638</v>
      </c>
      <c r="L2" s="8">
        <f>K2*J2</f>
        <v>95700000</v>
      </c>
      <c r="M2" s="108">
        <v>1</v>
      </c>
      <c r="N2" s="96">
        <v>10</v>
      </c>
      <c r="O2" s="10">
        <v>5000</v>
      </c>
      <c r="P2" s="85">
        <f>D2/O2</f>
        <v>3443.3345700000004</v>
      </c>
      <c r="Q2" s="85">
        <f>P2*N2</f>
        <v>34433.345700000005</v>
      </c>
      <c r="R2" s="3">
        <v>1</v>
      </c>
      <c r="S2" s="3">
        <v>5000</v>
      </c>
      <c r="T2" s="13">
        <v>21000</v>
      </c>
      <c r="U2" s="13">
        <v>577.48</v>
      </c>
      <c r="V2" s="13">
        <f>D2/S2</f>
        <v>3443.3345700000004</v>
      </c>
      <c r="W2" s="13">
        <f>V2*T2</f>
        <v>72310025.970000014</v>
      </c>
      <c r="X2" s="8">
        <f>V2*U2</f>
        <v>1988456.8474836003</v>
      </c>
      <c r="Y2" s="3">
        <v>1</v>
      </c>
      <c r="Z2" s="9">
        <v>15000</v>
      </c>
      <c r="AA2" s="9">
        <v>80000</v>
      </c>
      <c r="AB2" s="9">
        <v>68500</v>
      </c>
      <c r="AC2" s="9">
        <f>Z2*P2</f>
        <v>51650018.550000004</v>
      </c>
      <c r="AD2" s="9">
        <f>AA2*P2</f>
        <v>275466765.60000002</v>
      </c>
      <c r="AE2" s="8">
        <f>AB2*P2</f>
        <v>235868418.04500002</v>
      </c>
    </row>
    <row r="3" spans="1:31">
      <c r="A3" s="3" t="s">
        <v>59</v>
      </c>
      <c r="B3" s="106">
        <v>54658515</v>
      </c>
      <c r="C3" s="110">
        <v>100000000</v>
      </c>
      <c r="D3" s="105">
        <v>8198177.25</v>
      </c>
      <c r="E3" s="3">
        <v>1</v>
      </c>
      <c r="F3" s="8">
        <v>1256000</v>
      </c>
      <c r="G3" s="105">
        <v>4747.41</v>
      </c>
      <c r="H3" s="8">
        <f t="shared" ref="H3:H4" si="0">G3*F3</f>
        <v>5962746960</v>
      </c>
      <c r="I3" s="3">
        <v>1</v>
      </c>
      <c r="J3" s="107">
        <v>150000</v>
      </c>
      <c r="K3" s="3">
        <v>304</v>
      </c>
      <c r="L3" s="8">
        <f>K3*J3</f>
        <v>45600000</v>
      </c>
      <c r="M3" s="108">
        <v>1</v>
      </c>
      <c r="N3" s="96">
        <v>10</v>
      </c>
      <c r="O3" s="10">
        <v>5000</v>
      </c>
      <c r="P3" s="85">
        <f t="shared" ref="P3:P4" si="1">D3/O3</f>
        <v>1639.63545</v>
      </c>
      <c r="Q3" s="85">
        <f t="shared" ref="Q3:Q4" si="2">P3*N3</f>
        <v>16396.354500000001</v>
      </c>
      <c r="R3" s="3">
        <v>1</v>
      </c>
      <c r="S3" s="3">
        <v>5000</v>
      </c>
      <c r="T3" s="13">
        <v>21000</v>
      </c>
      <c r="U3" s="13">
        <v>577.48</v>
      </c>
      <c r="V3" s="13">
        <f t="shared" ref="V3:V4" si="3">D3/S3</f>
        <v>1639.63545</v>
      </c>
      <c r="W3" s="13">
        <f t="shared" ref="W3:W4" si="4">V3*T3</f>
        <v>34432344.450000003</v>
      </c>
      <c r="X3" s="8">
        <f t="shared" ref="X3:X4" si="5">V3*U3</f>
        <v>946856.67966600007</v>
      </c>
      <c r="Y3" s="3">
        <v>1</v>
      </c>
      <c r="Z3" s="9">
        <v>15000</v>
      </c>
      <c r="AA3" s="9">
        <v>80000</v>
      </c>
      <c r="AB3" s="9">
        <v>68500</v>
      </c>
      <c r="AC3" s="9">
        <f t="shared" ref="AC3:AC4" si="6">Z3*P3</f>
        <v>24594531.75</v>
      </c>
      <c r="AD3" s="9">
        <f t="shared" ref="AD3:AD4" si="7">AA3*P3</f>
        <v>131170836</v>
      </c>
      <c r="AE3" s="8">
        <f t="shared" ref="AE3:AE4" si="8">AB3*P3</f>
        <v>112315028.325</v>
      </c>
    </row>
    <row r="4" spans="1:31">
      <c r="A4" s="3" t="s">
        <v>60</v>
      </c>
      <c r="B4" s="109">
        <v>33644422</v>
      </c>
      <c r="C4" s="110">
        <v>80000000</v>
      </c>
      <c r="D4" s="97">
        <v>5046633.3</v>
      </c>
      <c r="E4" s="3">
        <v>1</v>
      </c>
      <c r="F4" s="8">
        <v>1256000</v>
      </c>
      <c r="G4" s="105">
        <v>2151.1799999999998</v>
      </c>
      <c r="H4" s="8">
        <f t="shared" si="0"/>
        <v>2701882080</v>
      </c>
      <c r="I4" s="3">
        <v>1</v>
      </c>
      <c r="J4" s="107">
        <v>150000</v>
      </c>
      <c r="K4" s="3">
        <v>187</v>
      </c>
      <c r="L4" s="8">
        <f>K4*J4</f>
        <v>28050000</v>
      </c>
      <c r="M4" s="108">
        <v>1</v>
      </c>
      <c r="N4" s="96">
        <v>10</v>
      </c>
      <c r="O4" s="10">
        <v>5000</v>
      </c>
      <c r="P4" s="85">
        <f t="shared" si="1"/>
        <v>1009.3266599999999</v>
      </c>
      <c r="Q4" s="85">
        <f t="shared" si="2"/>
        <v>10093.266599999999</v>
      </c>
      <c r="R4" s="3">
        <v>1</v>
      </c>
      <c r="S4" s="3">
        <v>5000</v>
      </c>
      <c r="T4" s="13">
        <v>21000</v>
      </c>
      <c r="U4" s="13">
        <v>577.48</v>
      </c>
      <c r="V4" s="13">
        <f t="shared" si="3"/>
        <v>1009.3266599999999</v>
      </c>
      <c r="W4" s="13">
        <f t="shared" si="4"/>
        <v>21195859.859999999</v>
      </c>
      <c r="X4" s="8">
        <f t="shared" si="5"/>
        <v>582865.95961679996</v>
      </c>
      <c r="Y4" s="3">
        <v>1</v>
      </c>
      <c r="Z4" s="9">
        <v>15000</v>
      </c>
      <c r="AA4" s="9">
        <v>80000</v>
      </c>
      <c r="AB4" s="9">
        <v>68500</v>
      </c>
      <c r="AC4" s="9">
        <f t="shared" si="6"/>
        <v>15139899.899999999</v>
      </c>
      <c r="AD4" s="9">
        <f t="shared" si="7"/>
        <v>80746132.799999997</v>
      </c>
      <c r="AE4" s="8">
        <f t="shared" si="8"/>
        <v>69138876.209999993</v>
      </c>
    </row>
    <row r="9" spans="1:31">
      <c r="E9" s="81"/>
      <c r="F9" s="81"/>
      <c r="G9" s="8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U20"/>
  <sheetViews>
    <sheetView workbookViewId="0">
      <selection activeCell="E19" sqref="E19"/>
    </sheetView>
  </sheetViews>
  <sheetFormatPr defaultRowHeight="15"/>
  <cols>
    <col min="2" max="2" width="18.85546875" bestFit="1" customWidth="1"/>
    <col min="3" max="3" width="20.140625" bestFit="1" customWidth="1"/>
    <col min="4" max="5" width="17.7109375" bestFit="1" customWidth="1"/>
    <col min="6" max="6" width="18" bestFit="1" customWidth="1"/>
    <col min="7" max="7" width="17" bestFit="1" customWidth="1"/>
    <col min="9" max="9" width="16.85546875" customWidth="1"/>
    <col min="10" max="10" width="17.28515625" bestFit="1" customWidth="1"/>
    <col min="11" max="12" width="16" bestFit="1" customWidth="1"/>
    <col min="13" max="13" width="14.28515625" bestFit="1" customWidth="1"/>
    <col min="14" max="14" width="17" bestFit="1" customWidth="1"/>
    <col min="16" max="16" width="26.140625" bestFit="1" customWidth="1"/>
    <col min="17" max="17" width="17.28515625" bestFit="1" customWidth="1"/>
    <col min="18" max="19" width="16" bestFit="1" customWidth="1"/>
    <col min="20" max="20" width="14.28515625" bestFit="1" customWidth="1"/>
    <col min="21" max="21" width="17" bestFit="1" customWidth="1"/>
  </cols>
  <sheetData>
    <row r="4" spans="2:21" ht="15.75">
      <c r="B4" s="86" t="s">
        <v>0</v>
      </c>
      <c r="C4" s="87"/>
      <c r="I4" s="86" t="s">
        <v>0</v>
      </c>
      <c r="J4" s="87"/>
      <c r="P4" s="86" t="s">
        <v>0</v>
      </c>
      <c r="Q4" s="88"/>
    </row>
    <row r="5" spans="2:21" ht="15.75">
      <c r="B5" s="88" t="s">
        <v>1</v>
      </c>
      <c r="C5" s="89">
        <v>114777819</v>
      </c>
      <c r="F5" s="90"/>
      <c r="I5" s="88" t="s">
        <v>2</v>
      </c>
      <c r="J5" s="89">
        <v>54658515</v>
      </c>
      <c r="P5" s="88" t="s">
        <v>3</v>
      </c>
      <c r="Q5" s="92">
        <v>33644422</v>
      </c>
    </row>
    <row r="7" spans="2:21">
      <c r="B7" s="35"/>
      <c r="C7" s="142" t="s">
        <v>19</v>
      </c>
      <c r="D7" s="142"/>
      <c r="E7" s="142"/>
      <c r="F7" s="142"/>
      <c r="G7" s="142"/>
      <c r="I7" s="142" t="s">
        <v>2</v>
      </c>
      <c r="J7" s="142"/>
      <c r="K7" s="142"/>
      <c r="L7" s="142"/>
      <c r="M7" s="142"/>
      <c r="N7" s="142"/>
      <c r="P7" s="35"/>
      <c r="Q7" s="139" t="s">
        <v>20</v>
      </c>
      <c r="R7" s="140"/>
      <c r="S7" s="140"/>
      <c r="T7" s="140"/>
      <c r="U7" s="141"/>
    </row>
    <row r="8" spans="2:21">
      <c r="B8" s="30"/>
      <c r="C8" s="30" t="s">
        <v>61</v>
      </c>
      <c r="D8" s="30" t="s">
        <v>22</v>
      </c>
      <c r="E8" s="30" t="s">
        <v>62</v>
      </c>
      <c r="F8" s="30" t="s">
        <v>63</v>
      </c>
      <c r="G8" s="30" t="s">
        <v>64</v>
      </c>
      <c r="I8" s="30"/>
      <c r="J8" s="30" t="s">
        <v>61</v>
      </c>
      <c r="K8" s="30" t="s">
        <v>22</v>
      </c>
      <c r="L8" s="30" t="s">
        <v>62</v>
      </c>
      <c r="M8" s="30" t="s">
        <v>63</v>
      </c>
      <c r="N8" s="30" t="s">
        <v>64</v>
      </c>
      <c r="P8" s="30"/>
      <c r="Q8" s="30" t="s">
        <v>61</v>
      </c>
      <c r="R8" s="30" t="s">
        <v>22</v>
      </c>
      <c r="S8" s="30" t="s">
        <v>62</v>
      </c>
      <c r="T8" s="30" t="s">
        <v>63</v>
      </c>
      <c r="U8" s="30" t="s">
        <v>64</v>
      </c>
    </row>
    <row r="9" spans="2:21">
      <c r="B9" s="3" t="s">
        <v>9</v>
      </c>
      <c r="C9" s="3">
        <v>1</v>
      </c>
      <c r="D9" s="3">
        <v>10</v>
      </c>
      <c r="E9" s="3">
        <v>5</v>
      </c>
      <c r="F9" s="3">
        <v>5000</v>
      </c>
      <c r="G9" s="36">
        <f>E9*F9</f>
        <v>25000</v>
      </c>
      <c r="I9" s="3" t="s">
        <v>9</v>
      </c>
      <c r="J9" s="3">
        <v>1</v>
      </c>
      <c r="K9" s="3">
        <v>10</v>
      </c>
      <c r="L9" s="3">
        <v>5</v>
      </c>
      <c r="M9" s="3">
        <v>5000</v>
      </c>
      <c r="N9" s="36">
        <f>L9*M9</f>
        <v>25000</v>
      </c>
      <c r="P9" s="3" t="s">
        <v>9</v>
      </c>
      <c r="Q9" s="3">
        <v>1</v>
      </c>
      <c r="R9" s="3">
        <v>10</v>
      </c>
      <c r="S9" s="3">
        <v>5</v>
      </c>
      <c r="T9" s="3">
        <v>5000</v>
      </c>
      <c r="U9" s="36">
        <f>S9*T9</f>
        <v>25000</v>
      </c>
    </row>
    <row r="10" spans="2:21">
      <c r="B10" s="3" t="s">
        <v>10</v>
      </c>
      <c r="C10" s="5">
        <f>G10/F9</f>
        <v>22955.5638</v>
      </c>
      <c r="D10" s="5">
        <f>C10*D9</f>
        <v>229555.63800000001</v>
      </c>
      <c r="E10" s="5">
        <f>G10/E9</f>
        <v>22955563.800000001</v>
      </c>
      <c r="F10" s="5">
        <f>C10*F9</f>
        <v>114777819</v>
      </c>
      <c r="G10" s="42">
        <f>C5</f>
        <v>114777819</v>
      </c>
      <c r="I10" s="3" t="s">
        <v>10</v>
      </c>
      <c r="J10" s="5">
        <f>N10/M9</f>
        <v>10931.703</v>
      </c>
      <c r="K10" s="5">
        <f>J10*K9</f>
        <v>109317.03</v>
      </c>
      <c r="L10" s="5">
        <f>N10/L9</f>
        <v>10931703</v>
      </c>
      <c r="M10" s="5">
        <f>J10*M9</f>
        <v>54658515</v>
      </c>
      <c r="N10" s="42">
        <f>J5</f>
        <v>54658515</v>
      </c>
      <c r="P10" s="3" t="s">
        <v>10</v>
      </c>
      <c r="Q10" s="5">
        <f>U10/T9</f>
        <v>6728.8843999999999</v>
      </c>
      <c r="R10" s="5">
        <f>Q10*R9</f>
        <v>67288.843999999997</v>
      </c>
      <c r="S10" s="5">
        <f>U10/S9</f>
        <v>6728884.4000000004</v>
      </c>
      <c r="T10" s="5">
        <f>Q10*T9</f>
        <v>33644422</v>
      </c>
      <c r="U10" s="42">
        <f>Q5</f>
        <v>33644422</v>
      </c>
    </row>
    <row r="11" spans="2:21">
      <c r="B11" s="3" t="s">
        <v>26</v>
      </c>
      <c r="C11" s="5">
        <f>G11/F9</f>
        <v>3443.3345699999995</v>
      </c>
      <c r="D11" s="5">
        <f>C11*D9</f>
        <v>34433.345699999998</v>
      </c>
      <c r="E11" s="5">
        <f>G11/E9</f>
        <v>3443334.5699999994</v>
      </c>
      <c r="F11" s="93">
        <f>C11*F9</f>
        <v>17216672.849999998</v>
      </c>
      <c r="G11" s="5">
        <f>G10*15%</f>
        <v>17216672.849999998</v>
      </c>
      <c r="I11" s="95" t="s">
        <v>26</v>
      </c>
      <c r="J11" s="5">
        <f>N11/M9</f>
        <v>1639.7554500000001</v>
      </c>
      <c r="K11" s="5">
        <f>J11*K9</f>
        <v>16397.554500000002</v>
      </c>
      <c r="L11" s="5">
        <f>N11/L9</f>
        <v>1639755.45</v>
      </c>
      <c r="M11" s="93">
        <f>J11*M9</f>
        <v>8198777.2500000009</v>
      </c>
      <c r="N11" s="5">
        <f>N10*15%</f>
        <v>8198777.25</v>
      </c>
      <c r="P11" s="95" t="s">
        <v>26</v>
      </c>
      <c r="Q11" s="5">
        <f>U11/T9</f>
        <v>1009.3326599999999</v>
      </c>
      <c r="R11" s="5">
        <f>Q11*R9</f>
        <v>10093.326599999999</v>
      </c>
      <c r="S11" s="5">
        <f>U11/S9</f>
        <v>1009332.6599999999</v>
      </c>
      <c r="T11" s="93">
        <f>Q11*T9</f>
        <v>5046663.3</v>
      </c>
      <c r="U11" s="5">
        <f>U10*15%</f>
        <v>5046663.3</v>
      </c>
    </row>
    <row r="12" spans="2:21">
      <c r="B12" s="3"/>
      <c r="C12" s="3"/>
      <c r="D12" s="3"/>
      <c r="E12" s="3"/>
      <c r="F12" s="3"/>
      <c r="G12" s="3"/>
      <c r="I12" s="3"/>
      <c r="J12" s="3"/>
      <c r="K12" s="3"/>
      <c r="L12" s="3"/>
      <c r="M12" s="3"/>
      <c r="N12" s="3"/>
      <c r="P12" s="3"/>
      <c r="Q12" s="3"/>
      <c r="R12" s="3"/>
      <c r="S12" s="3"/>
      <c r="T12" s="3"/>
      <c r="U12" s="3"/>
    </row>
    <row r="13" spans="2:21">
      <c r="B13" s="3"/>
      <c r="C13" s="123">
        <f>C5</f>
        <v>114777819</v>
      </c>
      <c r="D13" s="123"/>
      <c r="E13" s="11">
        <v>1</v>
      </c>
      <c r="F13" s="5">
        <f>C13/5000</f>
        <v>22955.5638</v>
      </c>
      <c r="G13" s="3"/>
      <c r="I13" s="3"/>
      <c r="J13" s="123">
        <f>J5</f>
        <v>54658515</v>
      </c>
      <c r="K13" s="123"/>
      <c r="L13" s="11">
        <v>1</v>
      </c>
      <c r="M13" s="5">
        <f>J13/M9</f>
        <v>10931.703</v>
      </c>
      <c r="N13" s="3"/>
      <c r="P13" s="3"/>
      <c r="Q13" s="147">
        <f>Q5</f>
        <v>33644422</v>
      </c>
      <c r="R13" s="148"/>
      <c r="S13" s="11">
        <v>1</v>
      </c>
      <c r="T13" s="5">
        <f>Q13/T9</f>
        <v>6728.8843999999999</v>
      </c>
      <c r="U13" s="3"/>
    </row>
    <row r="14" spans="2:21">
      <c r="B14" s="3"/>
      <c r="C14" s="123">
        <f>C13*E14</f>
        <v>17216672.849999998</v>
      </c>
      <c r="D14" s="123"/>
      <c r="E14" s="11">
        <v>0.15</v>
      </c>
      <c r="F14" s="5">
        <f>C14/5000</f>
        <v>3443.3345699999995</v>
      </c>
      <c r="G14" s="3"/>
      <c r="I14" s="3"/>
      <c r="J14" s="123">
        <f>J13*L14</f>
        <v>8198777.25</v>
      </c>
      <c r="K14" s="123"/>
      <c r="L14" s="11">
        <v>0.15</v>
      </c>
      <c r="M14" s="5">
        <f>J14/M9</f>
        <v>1639.7554500000001</v>
      </c>
      <c r="N14" s="3"/>
      <c r="P14" s="3"/>
      <c r="Q14" s="147">
        <f>Q13*S14</f>
        <v>5046663.3</v>
      </c>
      <c r="R14" s="148"/>
      <c r="S14" s="11">
        <v>0.15</v>
      </c>
      <c r="T14" s="5">
        <f>Q14/T9</f>
        <v>1009.3326599999999</v>
      </c>
      <c r="U14" s="3"/>
    </row>
    <row r="16" spans="2:21">
      <c r="B16" s="142" t="s">
        <v>65</v>
      </c>
      <c r="C16" s="142"/>
      <c r="D16" s="142"/>
      <c r="E16" s="142"/>
      <c r="I16" s="142" t="s">
        <v>65</v>
      </c>
      <c r="J16" s="142"/>
      <c r="K16" s="142"/>
      <c r="L16" s="142"/>
      <c r="P16" s="139" t="s">
        <v>65</v>
      </c>
      <c r="Q16" s="140"/>
      <c r="R16" s="140"/>
      <c r="S16" s="141"/>
    </row>
    <row r="17" spans="2:19">
      <c r="B17" s="30"/>
      <c r="C17" s="30" t="s">
        <v>32</v>
      </c>
      <c r="D17" s="30" t="s">
        <v>33</v>
      </c>
      <c r="E17" s="30" t="s">
        <v>34</v>
      </c>
      <c r="G17" s="2"/>
      <c r="I17" s="30"/>
      <c r="J17" s="30" t="s">
        <v>32</v>
      </c>
      <c r="K17" s="30" t="s">
        <v>33</v>
      </c>
      <c r="L17" s="30" t="s">
        <v>34</v>
      </c>
      <c r="P17" s="30"/>
      <c r="Q17" s="30" t="s">
        <v>32</v>
      </c>
      <c r="R17" s="30" t="s">
        <v>33</v>
      </c>
      <c r="S17" s="30" t="s">
        <v>34</v>
      </c>
    </row>
    <row r="18" spans="2:19">
      <c r="B18" s="3" t="s">
        <v>9</v>
      </c>
      <c r="C18" s="9">
        <v>16000</v>
      </c>
      <c r="D18" s="9">
        <v>90000</v>
      </c>
      <c r="E18" s="9">
        <v>78500</v>
      </c>
      <c r="I18" s="3" t="s">
        <v>9</v>
      </c>
      <c r="J18" s="9">
        <v>16000</v>
      </c>
      <c r="K18" s="9">
        <v>90000</v>
      </c>
      <c r="L18" s="9">
        <v>78500</v>
      </c>
      <c r="M18" s="2"/>
      <c r="P18" s="3" t="s">
        <v>9</v>
      </c>
      <c r="Q18" s="9">
        <v>16000</v>
      </c>
      <c r="R18" s="9">
        <v>90000</v>
      </c>
      <c r="S18" s="9">
        <v>78500</v>
      </c>
    </row>
    <row r="19" spans="2:19">
      <c r="B19" s="3" t="s">
        <v>66</v>
      </c>
      <c r="C19" s="9">
        <f>C10*C18</f>
        <v>367289020.80000001</v>
      </c>
      <c r="D19" s="9">
        <f>C10*D18</f>
        <v>2066000742</v>
      </c>
      <c r="E19" s="9">
        <f>C10*E18</f>
        <v>1802011758.3</v>
      </c>
      <c r="I19" s="3" t="s">
        <v>67</v>
      </c>
      <c r="J19" s="9">
        <f>J10*J18</f>
        <v>174907248</v>
      </c>
      <c r="K19" s="9">
        <f>J10*K18</f>
        <v>983853270</v>
      </c>
      <c r="L19" s="9">
        <f>J10*L18</f>
        <v>858138685.5</v>
      </c>
      <c r="P19" s="3" t="s">
        <v>67</v>
      </c>
      <c r="Q19" s="9">
        <f>Q10*Q18</f>
        <v>107662150.40000001</v>
      </c>
      <c r="R19" s="9">
        <f>Q10*R18</f>
        <v>605599596</v>
      </c>
      <c r="S19" s="9">
        <f>Q10*S18</f>
        <v>528217425.39999998</v>
      </c>
    </row>
    <row r="20" spans="2:19">
      <c r="B20" s="3" t="s">
        <v>68</v>
      </c>
      <c r="C20" s="9">
        <f>C11*C18</f>
        <v>55093353.11999999</v>
      </c>
      <c r="D20" s="9">
        <f>C11*D18</f>
        <v>309900111.29999995</v>
      </c>
      <c r="E20" s="9">
        <f>C11*E18</f>
        <v>270301763.74499995</v>
      </c>
      <c r="I20" s="3" t="s">
        <v>69</v>
      </c>
      <c r="J20" s="9">
        <f>J11*J18</f>
        <v>26236087.200000003</v>
      </c>
      <c r="K20" s="9">
        <f>J11*K18</f>
        <v>147577990.5</v>
      </c>
      <c r="L20" s="9">
        <f>J11*L18</f>
        <v>128720802.825</v>
      </c>
      <c r="P20" s="3" t="s">
        <v>70</v>
      </c>
      <c r="Q20" s="9">
        <f>Q11*Q18</f>
        <v>16149322.559999999</v>
      </c>
      <c r="R20" s="9">
        <f>Q11*R18</f>
        <v>90839939.399999991</v>
      </c>
      <c r="S20" s="9">
        <f>Q11*S18</f>
        <v>79232613.809999987</v>
      </c>
    </row>
  </sheetData>
  <mergeCells count="12">
    <mergeCell ref="I16:L16"/>
    <mergeCell ref="P16:S16"/>
    <mergeCell ref="B16:E16"/>
    <mergeCell ref="J13:K13"/>
    <mergeCell ref="J14:K14"/>
    <mergeCell ref="Q13:R13"/>
    <mergeCell ref="Q14:R14"/>
    <mergeCell ref="Q7:U7"/>
    <mergeCell ref="C7:G7"/>
    <mergeCell ref="C13:D13"/>
    <mergeCell ref="I7:N7"/>
    <mergeCell ref="C14:D14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9DF4-4C6D-42D0-BB06-041E404502E4}">
  <dimension ref="A1:R4"/>
  <sheetViews>
    <sheetView topLeftCell="H13" workbookViewId="0">
      <selection activeCell="H13" sqref="H13"/>
    </sheetView>
  </sheetViews>
  <sheetFormatPr defaultRowHeight="15"/>
  <cols>
    <col min="1" max="1" width="18" bestFit="1" customWidth="1"/>
    <col min="2" max="2" width="11.140625" bestFit="1" customWidth="1"/>
    <col min="3" max="3" width="16.5703125" bestFit="1" customWidth="1"/>
    <col min="4" max="4" width="17.28515625" bestFit="1" customWidth="1"/>
    <col min="5" max="5" width="12.5703125" bestFit="1" customWidth="1"/>
    <col min="6" max="6" width="14.42578125" bestFit="1" customWidth="1"/>
    <col min="7" max="7" width="12.5703125" customWidth="1"/>
    <col min="8" max="8" width="10.85546875" bestFit="1" customWidth="1"/>
    <col min="9" max="9" width="12" bestFit="1" customWidth="1"/>
    <col min="10" max="10" width="12.42578125" bestFit="1" customWidth="1"/>
    <col min="11" max="11" width="14.140625" bestFit="1" customWidth="1"/>
    <col min="12" max="12" width="34" bestFit="1" customWidth="1"/>
    <col min="13" max="13" width="29.28515625" bestFit="1" customWidth="1"/>
    <col min="14" max="14" width="31.42578125" bestFit="1" customWidth="1"/>
    <col min="15" max="15" width="12" bestFit="1" customWidth="1"/>
    <col min="16" max="16" width="46.28515625" bestFit="1" customWidth="1"/>
    <col min="17" max="17" width="46.7109375" bestFit="1" customWidth="1"/>
    <col min="18" max="18" width="47.85546875" bestFit="1" customWidth="1"/>
  </cols>
  <sheetData>
    <row r="1" spans="1:18">
      <c r="A1" s="76" t="s">
        <v>35</v>
      </c>
      <c r="B1" s="76" t="s">
        <v>0</v>
      </c>
      <c r="C1" s="76" t="s">
        <v>36</v>
      </c>
      <c r="D1" s="103" t="s">
        <v>61</v>
      </c>
      <c r="E1" s="103" t="s">
        <v>22</v>
      </c>
      <c r="F1" s="103" t="s">
        <v>62</v>
      </c>
      <c r="G1" s="103" t="s">
        <v>63</v>
      </c>
      <c r="H1" s="103" t="s">
        <v>71</v>
      </c>
      <c r="I1" s="103" t="s">
        <v>32</v>
      </c>
      <c r="J1" s="103" t="s">
        <v>33</v>
      </c>
      <c r="K1" s="103" t="s">
        <v>34</v>
      </c>
      <c r="L1" s="113" t="s">
        <v>72</v>
      </c>
      <c r="M1" s="112" t="s">
        <v>73</v>
      </c>
      <c r="N1" s="113" t="s">
        <v>74</v>
      </c>
      <c r="O1" s="113" t="s">
        <v>63</v>
      </c>
      <c r="P1" s="38" t="s">
        <v>75</v>
      </c>
      <c r="Q1" s="38" t="s">
        <v>76</v>
      </c>
      <c r="R1" s="38" t="s">
        <v>77</v>
      </c>
    </row>
    <row r="2" spans="1:18">
      <c r="A2" s="3" t="s">
        <v>58</v>
      </c>
      <c r="B2" s="106">
        <v>114777819</v>
      </c>
      <c r="C2" s="105">
        <v>17216672.850000001</v>
      </c>
      <c r="D2" s="3">
        <v>1</v>
      </c>
      <c r="E2" s="3">
        <v>10</v>
      </c>
      <c r="F2" s="3">
        <v>5</v>
      </c>
      <c r="G2" s="3">
        <v>5000</v>
      </c>
      <c r="H2" s="36">
        <f>F2*G2</f>
        <v>25000</v>
      </c>
      <c r="I2" s="9">
        <v>16000</v>
      </c>
      <c r="J2" s="9">
        <v>90000</v>
      </c>
      <c r="K2" s="9">
        <v>78500</v>
      </c>
      <c r="L2" s="85">
        <f>C2/G2</f>
        <v>3443.3345700000004</v>
      </c>
      <c r="M2" s="85">
        <f>L2*E2</f>
        <v>34433.345700000005</v>
      </c>
      <c r="N2" s="85">
        <f>C2/F2</f>
        <v>3443334.5700000003</v>
      </c>
      <c r="O2" s="85">
        <f>L2*G2</f>
        <v>17216672.850000001</v>
      </c>
      <c r="P2" s="8">
        <f>I2*L2</f>
        <v>55093353.120000005</v>
      </c>
      <c r="Q2" s="8">
        <f>L2*J2</f>
        <v>309900111.30000001</v>
      </c>
      <c r="R2" s="8">
        <f>L2*K2</f>
        <v>270301763.745</v>
      </c>
    </row>
    <row r="3" spans="1:18">
      <c r="A3" s="3" t="s">
        <v>59</v>
      </c>
      <c r="B3" s="106">
        <v>54658515</v>
      </c>
      <c r="C3" s="105">
        <v>8198177.25</v>
      </c>
      <c r="D3" s="3">
        <v>1</v>
      </c>
      <c r="E3" s="3">
        <v>10</v>
      </c>
      <c r="F3" s="3">
        <v>5</v>
      </c>
      <c r="G3" s="3">
        <v>5000</v>
      </c>
      <c r="H3" s="36">
        <f t="shared" ref="H3:H4" si="0">F3*G3</f>
        <v>25000</v>
      </c>
      <c r="I3" s="9">
        <v>16000</v>
      </c>
      <c r="J3" s="9">
        <v>90000</v>
      </c>
      <c r="K3" s="9">
        <v>78500</v>
      </c>
      <c r="L3" s="85">
        <f t="shared" ref="L3:L4" si="1">C3/G3</f>
        <v>1639.63545</v>
      </c>
      <c r="M3" s="85">
        <f t="shared" ref="M3:M4" si="2">L3*E3</f>
        <v>16396.354500000001</v>
      </c>
      <c r="N3" s="85">
        <f t="shared" ref="N3:N4" si="3">C3/F3</f>
        <v>1639635.45</v>
      </c>
      <c r="O3" s="85">
        <f>L3*G3</f>
        <v>8198177.25</v>
      </c>
      <c r="P3" s="8">
        <f t="shared" ref="P3:P4" si="4">I3*L3</f>
        <v>26234167.199999999</v>
      </c>
      <c r="Q3" s="8">
        <f t="shared" ref="Q3:Q4" si="5">L3*J3</f>
        <v>147567190.5</v>
      </c>
      <c r="R3" s="8">
        <f t="shared" ref="R3:R4" si="6">L3*K3</f>
        <v>128711382.825</v>
      </c>
    </row>
    <row r="4" spans="1:18">
      <c r="A4" s="3" t="s">
        <v>60</v>
      </c>
      <c r="B4" s="109">
        <v>33644422</v>
      </c>
      <c r="C4" s="97">
        <v>5046633.3</v>
      </c>
      <c r="D4" s="3">
        <v>1</v>
      </c>
      <c r="E4" s="3">
        <v>10</v>
      </c>
      <c r="F4" s="3">
        <v>5</v>
      </c>
      <c r="G4" s="3">
        <v>5000</v>
      </c>
      <c r="H4" s="36">
        <f t="shared" si="0"/>
        <v>25000</v>
      </c>
      <c r="I4" s="9">
        <v>16000</v>
      </c>
      <c r="J4" s="9">
        <v>90000</v>
      </c>
      <c r="K4" s="9">
        <v>78500</v>
      </c>
      <c r="L4" s="85">
        <f t="shared" si="1"/>
        <v>1009.3266599999999</v>
      </c>
      <c r="M4" s="85">
        <f t="shared" si="2"/>
        <v>10093.266599999999</v>
      </c>
      <c r="N4" s="85">
        <f t="shared" si="3"/>
        <v>1009326.6599999999</v>
      </c>
      <c r="O4" s="85">
        <f>L4*G4</f>
        <v>5046633.3</v>
      </c>
      <c r="P4" s="8">
        <f t="shared" si="4"/>
        <v>16149226.559999999</v>
      </c>
      <c r="Q4" s="8">
        <f t="shared" si="5"/>
        <v>90839399.399999991</v>
      </c>
      <c r="R4" s="8">
        <f t="shared" si="6"/>
        <v>79232142.810000002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R44"/>
  <sheetViews>
    <sheetView topLeftCell="G14" zoomScaleNormal="100" workbookViewId="0">
      <selection activeCell="D31" sqref="D31"/>
    </sheetView>
  </sheetViews>
  <sheetFormatPr defaultRowHeight="15"/>
  <cols>
    <col min="1" max="1" width="20" bestFit="1" customWidth="1"/>
    <col min="2" max="2" width="18.85546875" bestFit="1" customWidth="1"/>
    <col min="3" max="3" width="20.42578125" bestFit="1" customWidth="1"/>
    <col min="4" max="4" width="20.5703125" bestFit="1" customWidth="1"/>
    <col min="5" max="5" width="28.28515625" bestFit="1" customWidth="1"/>
    <col min="6" max="6" width="15.28515625" bestFit="1" customWidth="1"/>
    <col min="7" max="7" width="16" bestFit="1" customWidth="1"/>
    <col min="8" max="8" width="16.85546875" bestFit="1" customWidth="1"/>
    <col min="9" max="9" width="20.42578125" bestFit="1" customWidth="1"/>
    <col min="10" max="10" width="23.140625" bestFit="1" customWidth="1"/>
    <col min="11" max="11" width="28.28515625" bestFit="1" customWidth="1"/>
    <col min="12" max="12" width="14.28515625" bestFit="1" customWidth="1"/>
    <col min="13" max="13" width="16" bestFit="1" customWidth="1"/>
    <col min="14" max="14" width="26.140625" bestFit="1" customWidth="1"/>
    <col min="15" max="15" width="20.42578125" bestFit="1" customWidth="1"/>
    <col min="16" max="16" width="23.140625" bestFit="1" customWidth="1"/>
    <col min="17" max="17" width="28.28515625" bestFit="1" customWidth="1"/>
    <col min="18" max="18" width="14.28515625" bestFit="1" customWidth="1"/>
  </cols>
  <sheetData>
    <row r="4" spans="2:18" ht="18" customHeight="1"/>
    <row r="5" spans="2:18" ht="15.75">
      <c r="B5" s="86" t="s">
        <v>0</v>
      </c>
      <c r="C5" s="87"/>
      <c r="H5" s="86" t="s">
        <v>0</v>
      </c>
      <c r="I5" s="87"/>
      <c r="N5" s="86" t="s">
        <v>0</v>
      </c>
      <c r="O5" s="88"/>
    </row>
    <row r="6" spans="2:18" ht="15.75">
      <c r="B6" s="88" t="s">
        <v>1</v>
      </c>
      <c r="C6" s="89">
        <v>114777819</v>
      </c>
      <c r="F6" s="90"/>
      <c r="H6" s="88" t="s">
        <v>2</v>
      </c>
      <c r="I6" s="89">
        <v>54658515</v>
      </c>
      <c r="N6" s="88" t="s">
        <v>3</v>
      </c>
      <c r="O6" s="92">
        <v>33644422</v>
      </c>
    </row>
    <row r="8" spans="2:18">
      <c r="B8" s="142" t="s">
        <v>19</v>
      </c>
      <c r="C8" s="142"/>
      <c r="D8" s="142"/>
      <c r="E8" s="142"/>
      <c r="F8" s="142"/>
      <c r="H8" s="142" t="s">
        <v>59</v>
      </c>
      <c r="I8" s="142"/>
      <c r="J8" s="142"/>
      <c r="K8" s="142"/>
      <c r="L8" s="142"/>
      <c r="N8" s="142" t="s">
        <v>20</v>
      </c>
      <c r="O8" s="142"/>
      <c r="P8" s="142"/>
      <c r="Q8" s="142"/>
      <c r="R8" s="142"/>
    </row>
    <row r="9" spans="2:18">
      <c r="B9" s="31"/>
      <c r="C9" s="19" t="s">
        <v>7</v>
      </c>
      <c r="D9" s="38" t="s">
        <v>22</v>
      </c>
      <c r="E9" s="38" t="s">
        <v>78</v>
      </c>
      <c r="F9" s="30" t="s">
        <v>79</v>
      </c>
      <c r="H9" s="31"/>
      <c r="I9" s="19" t="s">
        <v>7</v>
      </c>
      <c r="J9" s="38" t="s">
        <v>22</v>
      </c>
      <c r="K9" s="38" t="s">
        <v>78</v>
      </c>
      <c r="L9" s="30" t="s">
        <v>79</v>
      </c>
      <c r="N9" s="31"/>
      <c r="O9" s="19" t="s">
        <v>7</v>
      </c>
      <c r="P9" s="38" t="s">
        <v>22</v>
      </c>
      <c r="Q9" s="38" t="s">
        <v>78</v>
      </c>
      <c r="R9" s="30" t="s">
        <v>79</v>
      </c>
    </row>
    <row r="10" spans="2:18">
      <c r="B10" s="3" t="s">
        <v>9</v>
      </c>
      <c r="C10" s="3">
        <v>1</v>
      </c>
      <c r="D10" s="7">
        <v>10</v>
      </c>
      <c r="E10" s="7">
        <v>5</v>
      </c>
      <c r="F10" s="98">
        <v>1307</v>
      </c>
      <c r="H10" s="3" t="s">
        <v>9</v>
      </c>
      <c r="I10" s="3">
        <v>1</v>
      </c>
      <c r="J10" s="7">
        <v>10</v>
      </c>
      <c r="K10" s="7">
        <v>5</v>
      </c>
      <c r="L10" s="3">
        <v>1727</v>
      </c>
      <c r="N10" s="3" t="s">
        <v>9</v>
      </c>
      <c r="O10" s="3">
        <v>1</v>
      </c>
      <c r="P10" s="7">
        <v>10</v>
      </c>
      <c r="Q10" s="7">
        <v>5</v>
      </c>
      <c r="R10" s="3">
        <v>2346</v>
      </c>
    </row>
    <row r="11" spans="2:18">
      <c r="B11" s="3" t="s">
        <v>80</v>
      </c>
      <c r="C11" s="5">
        <f>F11/F10</f>
        <v>87817.76511094108</v>
      </c>
      <c r="D11" s="42">
        <f>C11*D10</f>
        <v>878177.6511094108</v>
      </c>
      <c r="E11" s="42">
        <f>C11/5</f>
        <v>17563.553022188215</v>
      </c>
      <c r="F11" s="5">
        <f>C14</f>
        <v>114777819</v>
      </c>
      <c r="H11" s="3" t="s">
        <v>80</v>
      </c>
      <c r="I11" s="5">
        <f>L11/L10</f>
        <v>31649.400694846554</v>
      </c>
      <c r="J11" s="42">
        <f>I11*J10</f>
        <v>316494.00694846554</v>
      </c>
      <c r="K11" s="42">
        <f>I11/5</f>
        <v>6329.8801389693108</v>
      </c>
      <c r="L11" s="5">
        <f>I14</f>
        <v>54658515</v>
      </c>
      <c r="N11" s="3" t="s">
        <v>80</v>
      </c>
      <c r="O11" s="5">
        <f>R11/R10</f>
        <v>14341.185848252344</v>
      </c>
      <c r="P11" s="42">
        <f>O11*P10</f>
        <v>143411.85848252344</v>
      </c>
      <c r="Q11" s="42">
        <f>O11/5</f>
        <v>2868.2371696504688</v>
      </c>
      <c r="R11" s="5">
        <f>O14</f>
        <v>33644422</v>
      </c>
    </row>
    <row r="12" spans="2:18">
      <c r="B12" s="3" t="s">
        <v>26</v>
      </c>
      <c r="C12" s="5">
        <f>F12/F10</f>
        <v>13172.664766641161</v>
      </c>
      <c r="D12" s="42">
        <f>C12*D10</f>
        <v>131726.64766641162</v>
      </c>
      <c r="E12" s="42">
        <f>C12/5</f>
        <v>2634.532953328232</v>
      </c>
      <c r="F12" s="5">
        <f>C15</f>
        <v>17216672.849999998</v>
      </c>
      <c r="H12" s="3" t="s">
        <v>26</v>
      </c>
      <c r="I12" s="5">
        <f>L12/L10</f>
        <v>4747.4101042269831</v>
      </c>
      <c r="J12" s="42">
        <f>I12*J10</f>
        <v>47474.101042269831</v>
      </c>
      <c r="K12" s="42">
        <f>I12/5</f>
        <v>949.48202084539662</v>
      </c>
      <c r="L12" s="5">
        <f>I15</f>
        <v>8198777.25</v>
      </c>
      <c r="N12" s="3" t="s">
        <v>26</v>
      </c>
      <c r="O12" s="5">
        <f>R12/R10</f>
        <v>2151.1778772378516</v>
      </c>
      <c r="P12" s="42">
        <f>O12*P10</f>
        <v>21511.778772378515</v>
      </c>
      <c r="Q12" s="42">
        <f>O12/5</f>
        <v>430.23557544757034</v>
      </c>
      <c r="R12" s="5">
        <f>O15</f>
        <v>5046663.3</v>
      </c>
    </row>
    <row r="13" spans="2:18">
      <c r="B13" s="3"/>
      <c r="C13" s="3"/>
      <c r="D13" s="3"/>
      <c r="E13" s="3"/>
      <c r="F13" s="3"/>
      <c r="H13" s="3"/>
      <c r="I13" s="3"/>
      <c r="J13" s="3"/>
      <c r="K13" s="3"/>
      <c r="L13" s="3"/>
      <c r="N13" s="3"/>
      <c r="O13" s="3"/>
      <c r="P13" s="3"/>
      <c r="Q13" s="3"/>
      <c r="R13" s="3"/>
    </row>
    <row r="14" spans="2:18">
      <c r="B14" s="3"/>
      <c r="C14" s="123">
        <f>C6</f>
        <v>114777819</v>
      </c>
      <c r="D14" s="123"/>
      <c r="E14" s="11">
        <v>1</v>
      </c>
      <c r="F14" s="3"/>
      <c r="H14" s="3"/>
      <c r="I14" s="123">
        <f>I6</f>
        <v>54658515</v>
      </c>
      <c r="J14" s="123"/>
      <c r="K14" s="11">
        <v>1</v>
      </c>
      <c r="L14" s="3"/>
      <c r="N14" s="3"/>
      <c r="O14" s="123">
        <f>O6</f>
        <v>33644422</v>
      </c>
      <c r="P14" s="123"/>
      <c r="Q14" s="11">
        <v>1</v>
      </c>
      <c r="R14" s="3"/>
    </row>
    <row r="15" spans="2:18">
      <c r="B15" s="3"/>
      <c r="C15" s="123">
        <f>C14*E15</f>
        <v>17216672.849999998</v>
      </c>
      <c r="D15" s="123"/>
      <c r="E15" s="11">
        <v>0.15</v>
      </c>
      <c r="F15" s="3"/>
      <c r="H15" s="3"/>
      <c r="I15" s="123">
        <f>I14*K15</f>
        <v>8198777.25</v>
      </c>
      <c r="J15" s="123"/>
      <c r="K15" s="11">
        <v>0.15</v>
      </c>
      <c r="L15" s="3"/>
      <c r="N15" s="3"/>
      <c r="O15" s="123">
        <f>O14*Q15</f>
        <v>5046663.3</v>
      </c>
      <c r="P15" s="123"/>
      <c r="Q15" s="11">
        <v>0.15</v>
      </c>
      <c r="R15" s="3"/>
    </row>
    <row r="16" spans="2:18" ht="15.75" customHeight="1"/>
    <row r="17" spans="2:18" ht="15.75" customHeight="1">
      <c r="B17" s="31"/>
      <c r="C17" s="30" t="s">
        <v>81</v>
      </c>
      <c r="D17" s="30" t="s">
        <v>22</v>
      </c>
      <c r="E17" s="30" t="s">
        <v>82</v>
      </c>
      <c r="F17" s="31"/>
      <c r="H17" s="31"/>
      <c r="I17" s="30" t="s">
        <v>81</v>
      </c>
      <c r="J17" s="30" t="s">
        <v>22</v>
      </c>
      <c r="K17" s="30" t="s">
        <v>82</v>
      </c>
      <c r="L17" s="31"/>
      <c r="N17" s="31"/>
      <c r="O17" s="30" t="s">
        <v>81</v>
      </c>
      <c r="P17" s="30" t="s">
        <v>22</v>
      </c>
      <c r="Q17" s="30" t="s">
        <v>82</v>
      </c>
      <c r="R17" s="31"/>
    </row>
    <row r="18" spans="2:18" ht="15.75" customHeight="1">
      <c r="B18" s="3" t="s">
        <v>9</v>
      </c>
      <c r="C18" s="3">
        <v>1</v>
      </c>
      <c r="D18" s="3">
        <v>10</v>
      </c>
      <c r="E18" s="3">
        <v>5</v>
      </c>
      <c r="F18" s="3"/>
      <c r="H18" s="3" t="s">
        <v>9</v>
      </c>
      <c r="I18" s="3">
        <v>1</v>
      </c>
      <c r="J18" s="3">
        <v>10</v>
      </c>
      <c r="K18" s="3">
        <v>5</v>
      </c>
      <c r="L18" s="3"/>
      <c r="N18" s="3" t="s">
        <v>9</v>
      </c>
      <c r="O18" s="3">
        <v>1</v>
      </c>
      <c r="P18" s="3">
        <v>10</v>
      </c>
      <c r="Q18" s="3">
        <v>5</v>
      </c>
      <c r="R18" s="3"/>
    </row>
    <row r="19" spans="2:18" ht="15.75" customHeight="1">
      <c r="B19" s="3" t="s">
        <v>80</v>
      </c>
      <c r="C19" s="5">
        <f>E19/E18</f>
        <v>17563.553022188215</v>
      </c>
      <c r="D19" s="5">
        <f>C19*D18</f>
        <v>175635.53022188216</v>
      </c>
      <c r="E19" s="5">
        <f>C11</f>
        <v>87817.76511094108</v>
      </c>
      <c r="F19" s="3"/>
      <c r="H19" s="3" t="s">
        <v>80</v>
      </c>
      <c r="I19" s="5">
        <f>K19/K18</f>
        <v>6329.8801389693108</v>
      </c>
      <c r="J19" s="5">
        <f>I19*J18</f>
        <v>63298.801389693108</v>
      </c>
      <c r="K19" s="5">
        <f>I11</f>
        <v>31649.400694846554</v>
      </c>
      <c r="L19" s="3"/>
      <c r="N19" s="3" t="s">
        <v>80</v>
      </c>
      <c r="O19" s="5">
        <f>Q19/Q18</f>
        <v>2868.2371696504688</v>
      </c>
      <c r="P19" s="5">
        <f>O19*P18</f>
        <v>28682.371696504688</v>
      </c>
      <c r="Q19" s="5">
        <f>O11</f>
        <v>14341.185848252344</v>
      </c>
      <c r="R19" s="3"/>
    </row>
    <row r="20" spans="2:18" ht="15.75" customHeight="1">
      <c r="B20" s="3" t="s">
        <v>26</v>
      </c>
      <c r="C20" s="5">
        <f>E20/E18</f>
        <v>2634.532953328232</v>
      </c>
      <c r="D20" s="5">
        <f>C20*D18</f>
        <v>26345.329533282318</v>
      </c>
      <c r="E20" s="5">
        <f>C12</f>
        <v>13172.664766641161</v>
      </c>
      <c r="F20" s="3"/>
      <c r="H20" s="3" t="s">
        <v>26</v>
      </c>
      <c r="I20" s="5">
        <f>K20/K18</f>
        <v>949.48202084539662</v>
      </c>
      <c r="J20" s="5">
        <f>I20*J18</f>
        <v>9494.8202084539662</v>
      </c>
      <c r="K20" s="5">
        <f>I12</f>
        <v>4747.4101042269831</v>
      </c>
      <c r="L20" s="3"/>
      <c r="N20" s="3" t="s">
        <v>26</v>
      </c>
      <c r="O20" s="5">
        <f>Q20/Q18</f>
        <v>430.23557544757034</v>
      </c>
      <c r="P20" s="5">
        <f>O20*P18</f>
        <v>4302.3557544757032</v>
      </c>
      <c r="Q20" s="5">
        <f>O12</f>
        <v>2151.1778772378516</v>
      </c>
      <c r="R20" s="3"/>
    </row>
    <row r="21" spans="2:18" ht="15.75" customHeight="1">
      <c r="I21" s="151"/>
      <c r="J21" s="151"/>
      <c r="K21" s="20"/>
    </row>
    <row r="22" spans="2:18">
      <c r="B22" s="142" t="s">
        <v>83</v>
      </c>
      <c r="C22" s="142"/>
      <c r="D22" s="142"/>
      <c r="E22" s="142"/>
      <c r="F22" s="41"/>
      <c r="H22" s="142" t="s">
        <v>83</v>
      </c>
      <c r="I22" s="142"/>
      <c r="J22" s="142"/>
      <c r="K22" s="142"/>
      <c r="L22" s="41"/>
      <c r="N22" s="142" t="s">
        <v>83</v>
      </c>
      <c r="O22" s="142"/>
      <c r="P22" s="142"/>
      <c r="Q22" s="142"/>
      <c r="R22" s="41"/>
    </row>
    <row r="23" spans="2:18">
      <c r="B23" s="31"/>
      <c r="C23" s="30" t="s">
        <v>32</v>
      </c>
      <c r="D23" s="30" t="s">
        <v>33</v>
      </c>
      <c r="E23" s="30" t="s">
        <v>34</v>
      </c>
      <c r="F23" s="31"/>
      <c r="H23" s="31"/>
      <c r="I23" s="30" t="s">
        <v>32</v>
      </c>
      <c r="J23" s="30" t="s">
        <v>33</v>
      </c>
      <c r="K23" s="30" t="s">
        <v>34</v>
      </c>
      <c r="L23" s="31"/>
      <c r="N23" s="31"/>
      <c r="O23" s="30" t="s">
        <v>32</v>
      </c>
      <c r="P23" s="30" t="s">
        <v>33</v>
      </c>
      <c r="Q23" s="30" t="s">
        <v>34</v>
      </c>
      <c r="R23" s="31"/>
    </row>
    <row r="24" spans="2:18">
      <c r="B24" s="3" t="s">
        <v>9</v>
      </c>
      <c r="C24" s="9">
        <v>19000</v>
      </c>
      <c r="D24" s="9">
        <v>100000</v>
      </c>
      <c r="E24" s="9">
        <v>82500</v>
      </c>
      <c r="F24" s="3"/>
      <c r="H24" s="3" t="s">
        <v>9</v>
      </c>
      <c r="I24" s="9">
        <v>19000</v>
      </c>
      <c r="J24" s="9">
        <v>100000</v>
      </c>
      <c r="K24" s="9">
        <v>82500</v>
      </c>
      <c r="L24" s="3"/>
      <c r="N24" s="3" t="s">
        <v>9</v>
      </c>
      <c r="O24" s="9">
        <v>19000</v>
      </c>
      <c r="P24" s="9">
        <v>100000</v>
      </c>
      <c r="Q24" s="9">
        <v>82500</v>
      </c>
      <c r="R24" s="3"/>
    </row>
    <row r="25" spans="2:18">
      <c r="B25" s="3" t="s">
        <v>80</v>
      </c>
      <c r="C25" s="9">
        <f>C19*C24</f>
        <v>333707507.42157608</v>
      </c>
      <c r="D25" s="9">
        <f t="shared" ref="D25" si="0">D19*D24</f>
        <v>17563553022.188217</v>
      </c>
      <c r="E25" s="9">
        <f>C19*E24</f>
        <v>1448993124.3305278</v>
      </c>
      <c r="F25" s="3"/>
      <c r="H25" s="3" t="s">
        <v>80</v>
      </c>
      <c r="I25" s="9">
        <f>I19*I24</f>
        <v>120267722.64041691</v>
      </c>
      <c r="J25" s="9">
        <f>J19*J24</f>
        <v>6329880138.9693108</v>
      </c>
      <c r="K25" s="9">
        <f>I19*K24</f>
        <v>522215111.46496814</v>
      </c>
      <c r="L25" s="3"/>
      <c r="N25" s="3" t="s">
        <v>80</v>
      </c>
      <c r="O25" s="9">
        <f>O19*O24</f>
        <v>54496506.223358907</v>
      </c>
      <c r="P25" s="9">
        <f>P19*P24</f>
        <v>2868237169.6504688</v>
      </c>
      <c r="Q25" s="9">
        <f>O19*Q24</f>
        <v>236629566.49616367</v>
      </c>
      <c r="R25" s="3"/>
    </row>
    <row r="26" spans="2:18">
      <c r="B26" s="3" t="s">
        <v>26</v>
      </c>
      <c r="C26" s="9">
        <f>C20*C24</f>
        <v>50056126.113236405</v>
      </c>
      <c r="D26" s="9">
        <f t="shared" ref="D26" si="1">D20*D24</f>
        <v>2634532953.3282318</v>
      </c>
      <c r="E26" s="9">
        <f>C20*E24</f>
        <v>217348968.64957914</v>
      </c>
      <c r="F26" s="3"/>
      <c r="H26" s="3" t="s">
        <v>26</v>
      </c>
      <c r="I26" s="9">
        <f>I20*I24</f>
        <v>18040158.396062534</v>
      </c>
      <c r="J26" s="9">
        <f>J20*J24</f>
        <v>949482020.84539664</v>
      </c>
      <c r="K26" s="9">
        <f>I20*K24</f>
        <v>78332266.719745219</v>
      </c>
      <c r="L26" s="3"/>
      <c r="N26" s="3" t="s">
        <v>26</v>
      </c>
      <c r="O26" s="9">
        <f>O20*O24</f>
        <v>8174475.9335038364</v>
      </c>
      <c r="P26" s="9">
        <f>P20*P24</f>
        <v>430235575.44757032</v>
      </c>
      <c r="Q26" s="9">
        <f>O20*Q24</f>
        <v>35494434.974424556</v>
      </c>
      <c r="R26" s="3"/>
    </row>
    <row r="28" spans="2:18">
      <c r="B28" s="142" t="s">
        <v>84</v>
      </c>
      <c r="C28" s="142"/>
      <c r="D28" s="142"/>
      <c r="E28" s="142"/>
      <c r="F28" s="41"/>
      <c r="H28" s="142" t="s">
        <v>84</v>
      </c>
      <c r="I28" s="142"/>
      <c r="J28" s="142"/>
      <c r="K28" s="142"/>
      <c r="L28" s="41"/>
      <c r="N28" s="142" t="s">
        <v>84</v>
      </c>
      <c r="O28" s="142"/>
      <c r="P28" s="142"/>
      <c r="Q28" s="142"/>
      <c r="R28" s="41"/>
    </row>
    <row r="29" spans="2:18">
      <c r="B29" s="39"/>
      <c r="C29" s="40" t="s">
        <v>7</v>
      </c>
      <c r="D29" s="40" t="s">
        <v>85</v>
      </c>
      <c r="E29" s="39"/>
      <c r="F29" s="31"/>
      <c r="H29" s="39"/>
      <c r="I29" s="40" t="s">
        <v>7</v>
      </c>
      <c r="J29" s="150" t="s">
        <v>85</v>
      </c>
      <c r="K29" s="150"/>
      <c r="L29" s="31"/>
      <c r="N29" s="39"/>
      <c r="O29" s="40" t="s">
        <v>7</v>
      </c>
      <c r="P29" s="40" t="s">
        <v>85</v>
      </c>
      <c r="Q29" s="39"/>
      <c r="R29" s="31"/>
    </row>
    <row r="30" spans="2:18">
      <c r="B30" s="3" t="s">
        <v>9</v>
      </c>
      <c r="C30" s="3">
        <v>1</v>
      </c>
      <c r="D30" s="9">
        <v>1256000</v>
      </c>
      <c r="E30" s="3"/>
      <c r="F30" s="3"/>
      <c r="H30" s="3" t="s">
        <v>9</v>
      </c>
      <c r="I30" s="3">
        <v>1</v>
      </c>
      <c r="J30" s="149">
        <v>1256000</v>
      </c>
      <c r="K30" s="149"/>
      <c r="L30" s="3"/>
      <c r="N30" s="3" t="s">
        <v>9</v>
      </c>
      <c r="O30" s="3">
        <v>1</v>
      </c>
      <c r="P30" s="9">
        <v>1256000</v>
      </c>
      <c r="Q30" s="3"/>
      <c r="R30" s="3"/>
    </row>
    <row r="31" spans="2:18">
      <c r="B31" s="3" t="s">
        <v>80</v>
      </c>
      <c r="C31" s="5">
        <f>C11</f>
        <v>87817.76511094108</v>
      </c>
      <c r="D31" s="9">
        <f>C31*D30</f>
        <v>110299112979.342</v>
      </c>
      <c r="E31" s="3"/>
      <c r="F31" s="3"/>
      <c r="H31" s="3" t="s">
        <v>80</v>
      </c>
      <c r="I31" s="5">
        <f>I11</f>
        <v>31649.400694846554</v>
      </c>
      <c r="J31" s="149">
        <f>I31*J30</f>
        <v>39751647272.727272</v>
      </c>
      <c r="K31" s="149"/>
      <c r="L31" s="3"/>
      <c r="N31" s="3" t="s">
        <v>80</v>
      </c>
      <c r="O31" s="5">
        <f>O11</f>
        <v>14341.185848252344</v>
      </c>
      <c r="P31" s="9">
        <f>O31*P30</f>
        <v>18012529425.404945</v>
      </c>
      <c r="Q31" s="3"/>
      <c r="R31" s="3"/>
    </row>
    <row r="32" spans="2:18">
      <c r="B32" s="3" t="s">
        <v>26</v>
      </c>
      <c r="C32" s="5">
        <f>C12</f>
        <v>13172.664766641161</v>
      </c>
      <c r="D32" s="9">
        <f>C32*D30</f>
        <v>16544866946.901299</v>
      </c>
      <c r="E32" s="3"/>
      <c r="F32" s="3"/>
      <c r="H32" s="3" t="s">
        <v>26</v>
      </c>
      <c r="I32" s="5">
        <f>I12</f>
        <v>4747.4101042269831</v>
      </c>
      <c r="J32" s="149">
        <f>I32*J30</f>
        <v>5962747090.909091</v>
      </c>
      <c r="K32" s="149"/>
      <c r="L32" s="3"/>
      <c r="N32" s="3" t="s">
        <v>26</v>
      </c>
      <c r="O32" s="5">
        <f>O12</f>
        <v>2151.1778772378516</v>
      </c>
      <c r="P32" s="9">
        <f>O32*P30</f>
        <v>2701879413.8107414</v>
      </c>
      <c r="Q32" s="3"/>
      <c r="R32" s="3"/>
    </row>
    <row r="34" spans="2:18">
      <c r="B34" s="142" t="s">
        <v>14</v>
      </c>
      <c r="C34" s="142"/>
      <c r="D34" s="142"/>
      <c r="E34" s="142"/>
      <c r="F34" s="41"/>
      <c r="H34" s="142" t="s">
        <v>14</v>
      </c>
      <c r="I34" s="142"/>
      <c r="J34" s="142"/>
      <c r="K34" s="142"/>
      <c r="L34" s="41"/>
      <c r="N34" s="142" t="s">
        <v>14</v>
      </c>
      <c r="O34" s="142"/>
      <c r="P34" s="142"/>
      <c r="Q34" s="142"/>
      <c r="R34" s="41"/>
    </row>
    <row r="35" spans="2:18">
      <c r="B35" s="31"/>
      <c r="C35" s="19" t="s">
        <v>15</v>
      </c>
      <c r="D35" s="38" t="s">
        <v>22</v>
      </c>
      <c r="E35" s="38" t="s">
        <v>79</v>
      </c>
      <c r="F35" s="31"/>
      <c r="H35" s="31"/>
      <c r="I35" s="19" t="s">
        <v>15</v>
      </c>
      <c r="J35" s="38" t="s">
        <v>22</v>
      </c>
      <c r="K35" s="38" t="s">
        <v>79</v>
      </c>
      <c r="L35" s="31"/>
      <c r="N35" s="31"/>
      <c r="O35" s="19" t="s">
        <v>15</v>
      </c>
      <c r="P35" s="38" t="s">
        <v>22</v>
      </c>
      <c r="Q35" s="38" t="s">
        <v>79</v>
      </c>
      <c r="R35" s="31"/>
    </row>
    <row r="36" spans="2:18">
      <c r="B36" s="3" t="s">
        <v>9</v>
      </c>
      <c r="C36" s="3">
        <v>1</v>
      </c>
      <c r="D36" s="7">
        <v>10</v>
      </c>
      <c r="E36" s="7">
        <v>27000</v>
      </c>
      <c r="F36" s="3"/>
      <c r="H36" s="3" t="s">
        <v>9</v>
      </c>
      <c r="I36" s="3">
        <v>1</v>
      </c>
      <c r="J36" s="7">
        <v>10</v>
      </c>
      <c r="K36" s="7">
        <v>27000</v>
      </c>
      <c r="L36" s="3"/>
      <c r="N36" s="3" t="s">
        <v>9</v>
      </c>
      <c r="O36" s="3">
        <v>1</v>
      </c>
      <c r="P36" s="7">
        <v>10</v>
      </c>
      <c r="Q36" s="7">
        <v>27000</v>
      </c>
      <c r="R36" s="3"/>
    </row>
    <row r="37" spans="2:18">
      <c r="B37" s="3" t="s">
        <v>80</v>
      </c>
      <c r="C37" s="5">
        <f>E37/E36</f>
        <v>4251.0303333333331</v>
      </c>
      <c r="D37" s="42">
        <f>C37*D36</f>
        <v>42510.30333333333</v>
      </c>
      <c r="E37" s="42">
        <f>F11</f>
        <v>114777819</v>
      </c>
      <c r="F37" s="3"/>
      <c r="H37" s="3" t="s">
        <v>80</v>
      </c>
      <c r="I37" s="5">
        <f>K37/K36</f>
        <v>2024.3894444444445</v>
      </c>
      <c r="J37" s="42">
        <f>I37*J36</f>
        <v>20243.894444444446</v>
      </c>
      <c r="K37" s="42">
        <f>L11</f>
        <v>54658515</v>
      </c>
      <c r="L37" s="3"/>
      <c r="N37" s="3" t="s">
        <v>80</v>
      </c>
      <c r="O37" s="5">
        <f>Q37/Q36</f>
        <v>1246.0897037037037</v>
      </c>
      <c r="P37" s="42">
        <f>O37*P36</f>
        <v>12460.897037037037</v>
      </c>
      <c r="Q37" s="42">
        <f>R11</f>
        <v>33644422</v>
      </c>
      <c r="R37" s="3"/>
    </row>
    <row r="38" spans="2:18">
      <c r="B38" s="3" t="s">
        <v>26</v>
      </c>
      <c r="C38" s="5">
        <f>E38/E36</f>
        <v>637.65454999999997</v>
      </c>
      <c r="D38" s="42">
        <f>C38*D36</f>
        <v>6376.5455000000002</v>
      </c>
      <c r="E38" s="42">
        <f>F12</f>
        <v>17216672.849999998</v>
      </c>
      <c r="F38" s="3"/>
      <c r="H38" s="3" t="s">
        <v>26</v>
      </c>
      <c r="I38" s="5">
        <f>K38/K36</f>
        <v>303.65841666666665</v>
      </c>
      <c r="J38" s="42">
        <f>I38*J36</f>
        <v>3036.5841666666665</v>
      </c>
      <c r="K38" s="42">
        <f>L12</f>
        <v>8198777.25</v>
      </c>
      <c r="L38" s="3"/>
      <c r="N38" s="3" t="s">
        <v>26</v>
      </c>
      <c r="O38" s="5">
        <f>Q38/Q36</f>
        <v>186.91345555555554</v>
      </c>
      <c r="P38" s="42">
        <f>O38*P36</f>
        <v>1869.1345555555554</v>
      </c>
      <c r="Q38" s="42">
        <f>R12</f>
        <v>5046663.3</v>
      </c>
      <c r="R38" s="3"/>
    </row>
    <row r="39" spans="2:18">
      <c r="C39" s="2"/>
      <c r="D39" s="43"/>
      <c r="E39" s="43"/>
      <c r="I39" s="2"/>
      <c r="J39" s="43"/>
      <c r="K39" s="43"/>
      <c r="O39" s="2"/>
      <c r="P39" s="43"/>
      <c r="Q39" s="43"/>
    </row>
    <row r="40" spans="2:18">
      <c r="B40" s="142" t="s">
        <v>13</v>
      </c>
      <c r="C40" s="142"/>
      <c r="D40" s="142"/>
      <c r="E40" s="142"/>
      <c r="F40" s="41"/>
      <c r="H40" s="142" t="s">
        <v>13</v>
      </c>
      <c r="I40" s="142"/>
      <c r="J40" s="142"/>
      <c r="K40" s="142"/>
      <c r="L40" s="41"/>
      <c r="N40" s="142" t="s">
        <v>13</v>
      </c>
      <c r="O40" s="142"/>
      <c r="P40" s="142"/>
      <c r="Q40" s="142"/>
      <c r="R40" s="41"/>
    </row>
    <row r="41" spans="2:18">
      <c r="B41" s="31"/>
      <c r="C41" s="40" t="s">
        <v>15</v>
      </c>
      <c r="D41" s="150" t="s">
        <v>85</v>
      </c>
      <c r="E41" s="150"/>
      <c r="F41" s="31"/>
      <c r="H41" s="31"/>
      <c r="I41" s="40" t="s">
        <v>15</v>
      </c>
      <c r="J41" s="150" t="s">
        <v>85</v>
      </c>
      <c r="K41" s="150"/>
      <c r="L41" s="31"/>
      <c r="N41" s="31"/>
      <c r="O41" s="40" t="s">
        <v>15</v>
      </c>
      <c r="P41" s="150" t="s">
        <v>85</v>
      </c>
      <c r="Q41" s="150"/>
      <c r="R41" s="31"/>
    </row>
    <row r="42" spans="2:18">
      <c r="B42" s="3" t="s">
        <v>9</v>
      </c>
      <c r="C42" s="3">
        <v>1</v>
      </c>
      <c r="D42" s="149">
        <v>150000</v>
      </c>
      <c r="E42" s="149"/>
      <c r="F42" s="3"/>
      <c r="H42" s="3" t="s">
        <v>9</v>
      </c>
      <c r="I42" s="3">
        <v>1</v>
      </c>
      <c r="J42" s="149">
        <v>150000</v>
      </c>
      <c r="K42" s="149"/>
      <c r="L42" s="3"/>
      <c r="N42" s="3" t="s">
        <v>9</v>
      </c>
      <c r="O42" s="3">
        <v>1</v>
      </c>
      <c r="P42" s="149">
        <v>150000</v>
      </c>
      <c r="Q42" s="149"/>
      <c r="R42" s="3"/>
    </row>
    <row r="43" spans="2:18">
      <c r="B43" s="3" t="s">
        <v>80</v>
      </c>
      <c r="C43" s="5">
        <f>C37</f>
        <v>4251.0303333333331</v>
      </c>
      <c r="D43" s="149">
        <f>C43*D42</f>
        <v>637654550</v>
      </c>
      <c r="E43" s="149"/>
      <c r="F43" s="3"/>
      <c r="H43" s="3" t="s">
        <v>80</v>
      </c>
      <c r="I43" s="5">
        <f>I37</f>
        <v>2024.3894444444445</v>
      </c>
      <c r="J43" s="149">
        <f>I43*J42</f>
        <v>303658416.66666669</v>
      </c>
      <c r="K43" s="149"/>
      <c r="L43" s="3"/>
      <c r="N43" s="3" t="s">
        <v>80</v>
      </c>
      <c r="O43" s="5">
        <f>O37</f>
        <v>1246.0897037037037</v>
      </c>
      <c r="P43" s="149">
        <f>O43*P42</f>
        <v>186913455.55555555</v>
      </c>
      <c r="Q43" s="149"/>
      <c r="R43" s="3"/>
    </row>
    <row r="44" spans="2:18">
      <c r="B44" s="3" t="s">
        <v>26</v>
      </c>
      <c r="C44" s="5">
        <f>C38</f>
        <v>637.65454999999997</v>
      </c>
      <c r="D44" s="149">
        <f>C44*D42</f>
        <v>95648182.5</v>
      </c>
      <c r="E44" s="149"/>
      <c r="F44" s="3"/>
      <c r="H44" s="3" t="s">
        <v>26</v>
      </c>
      <c r="I44" s="5">
        <f>I38</f>
        <v>303.65841666666665</v>
      </c>
      <c r="J44" s="149">
        <f>I44*J42</f>
        <v>45548762.5</v>
      </c>
      <c r="K44" s="149"/>
      <c r="L44" s="3"/>
      <c r="N44" s="3" t="s">
        <v>26</v>
      </c>
      <c r="O44" s="5">
        <f>O38</f>
        <v>186.91345555555554</v>
      </c>
      <c r="P44" s="149">
        <f>O44*P42</f>
        <v>28037018.333333332</v>
      </c>
      <c r="Q44" s="149"/>
      <c r="R44" s="3"/>
    </row>
  </sheetData>
  <mergeCells count="38">
    <mergeCell ref="B8:F8"/>
    <mergeCell ref="C14:D14"/>
    <mergeCell ref="C15:D15"/>
    <mergeCell ref="H22:K22"/>
    <mergeCell ref="N22:Q22"/>
    <mergeCell ref="B22:E22"/>
    <mergeCell ref="I14:J14"/>
    <mergeCell ref="I15:J15"/>
    <mergeCell ref="H8:L8"/>
    <mergeCell ref="N8:R8"/>
    <mergeCell ref="O14:P14"/>
    <mergeCell ref="O15:P15"/>
    <mergeCell ref="I21:J21"/>
    <mergeCell ref="H28:K28"/>
    <mergeCell ref="N28:Q28"/>
    <mergeCell ref="P44:Q44"/>
    <mergeCell ref="B28:E28"/>
    <mergeCell ref="H40:K40"/>
    <mergeCell ref="J29:K29"/>
    <mergeCell ref="J30:K30"/>
    <mergeCell ref="J31:K31"/>
    <mergeCell ref="J32:K32"/>
    <mergeCell ref="B34:E34"/>
    <mergeCell ref="B40:E40"/>
    <mergeCell ref="D41:E41"/>
    <mergeCell ref="D42:E42"/>
    <mergeCell ref="D43:E43"/>
    <mergeCell ref="D44:E44"/>
    <mergeCell ref="N34:Q34"/>
    <mergeCell ref="J44:K44"/>
    <mergeCell ref="H34:K34"/>
    <mergeCell ref="N40:Q40"/>
    <mergeCell ref="P41:Q41"/>
    <mergeCell ref="P42:Q42"/>
    <mergeCell ref="P43:Q43"/>
    <mergeCell ref="J41:K41"/>
    <mergeCell ref="J42:K42"/>
    <mergeCell ref="J43:K4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73D3F-DD5C-47CA-B9DB-1B4089977F67}">
  <dimension ref="A1:U4"/>
  <sheetViews>
    <sheetView topLeftCell="I8" workbookViewId="0">
      <selection activeCell="I8" sqref="I8"/>
    </sheetView>
  </sheetViews>
  <sheetFormatPr defaultRowHeight="15"/>
  <cols>
    <col min="1" max="1" width="18" bestFit="1" customWidth="1"/>
    <col min="2" max="2" width="11.140625" bestFit="1" customWidth="1"/>
    <col min="3" max="3" width="16.85546875" bestFit="1" customWidth="1"/>
    <col min="4" max="4" width="4.5703125" bestFit="1" customWidth="1"/>
    <col min="5" max="5" width="12.5703125" bestFit="1" customWidth="1"/>
    <col min="6" max="6" width="23.5703125" bestFit="1" customWidth="1"/>
    <col min="7" max="7" width="12.7109375" bestFit="1" customWidth="1"/>
    <col min="8" max="8" width="21" bestFit="1" customWidth="1"/>
    <col min="9" max="9" width="34.140625" bestFit="1" customWidth="1"/>
    <col min="10" max="10" width="49.7109375" bestFit="1" customWidth="1"/>
    <col min="11" max="11" width="20.42578125" bestFit="1" customWidth="1"/>
    <col min="12" max="12" width="17.42578125" bestFit="1" customWidth="1"/>
    <col min="13" max="13" width="16.42578125" bestFit="1" customWidth="1"/>
    <col min="14" max="14" width="38.140625" bestFit="1" customWidth="1"/>
    <col min="15" max="15" width="41" bestFit="1" customWidth="1"/>
    <col min="16" max="16" width="16.42578125" bestFit="1" customWidth="1"/>
    <col min="17" max="17" width="12.42578125" bestFit="1" customWidth="1"/>
    <col min="18" max="18" width="14.140625" bestFit="1" customWidth="1"/>
    <col min="19" max="19" width="40.42578125" bestFit="1" customWidth="1"/>
    <col min="20" max="20" width="40.85546875" bestFit="1" customWidth="1"/>
    <col min="21" max="21" width="42.140625" bestFit="1" customWidth="1"/>
  </cols>
  <sheetData>
    <row r="1" spans="1:21">
      <c r="A1" s="76" t="s">
        <v>35</v>
      </c>
      <c r="B1" s="76" t="s">
        <v>0</v>
      </c>
      <c r="C1" s="76" t="s">
        <v>36</v>
      </c>
      <c r="D1" s="69" t="s">
        <v>7</v>
      </c>
      <c r="E1" s="76" t="s">
        <v>22</v>
      </c>
      <c r="F1" s="76" t="s">
        <v>86</v>
      </c>
      <c r="G1" s="103" t="s">
        <v>79</v>
      </c>
      <c r="H1" s="118" t="s">
        <v>87</v>
      </c>
      <c r="I1" s="117" t="s">
        <v>88</v>
      </c>
      <c r="J1" s="117" t="s">
        <v>89</v>
      </c>
      <c r="K1" s="30" t="s">
        <v>81</v>
      </c>
      <c r="L1" s="30" t="s">
        <v>90</v>
      </c>
      <c r="M1" s="30" t="s">
        <v>82</v>
      </c>
      <c r="N1" s="117" t="s">
        <v>91</v>
      </c>
      <c r="O1" s="117" t="s">
        <v>92</v>
      </c>
      <c r="P1" s="30" t="s">
        <v>32</v>
      </c>
      <c r="Q1" s="30" t="s">
        <v>33</v>
      </c>
      <c r="R1" s="30" t="s">
        <v>34</v>
      </c>
      <c r="S1" s="117" t="s">
        <v>93</v>
      </c>
      <c r="T1" s="117" t="s">
        <v>94</v>
      </c>
      <c r="U1" s="117" t="s">
        <v>95</v>
      </c>
    </row>
    <row r="2" spans="1:21">
      <c r="A2" s="3" t="s">
        <v>58</v>
      </c>
      <c r="B2" s="106">
        <v>114777819</v>
      </c>
      <c r="C2" s="105">
        <v>17216672.850000001</v>
      </c>
      <c r="D2" s="3">
        <v>1</v>
      </c>
      <c r="E2" s="114">
        <v>10</v>
      </c>
      <c r="F2" s="114">
        <v>5</v>
      </c>
      <c r="G2" s="98">
        <v>1307</v>
      </c>
      <c r="H2" s="85">
        <f>C2/G2</f>
        <v>13172.664766641165</v>
      </c>
      <c r="I2" s="5">
        <f>H2*E2</f>
        <v>131726.64766641165</v>
      </c>
      <c r="J2" s="5">
        <f>H2/F2</f>
        <v>2634.5329533282329</v>
      </c>
      <c r="K2" s="3">
        <v>1</v>
      </c>
      <c r="L2" s="3">
        <v>10</v>
      </c>
      <c r="M2" s="3">
        <v>5</v>
      </c>
      <c r="N2" s="5">
        <f>H2/M2</f>
        <v>2634.5329533282329</v>
      </c>
      <c r="O2" s="5">
        <f>N2*L2</f>
        <v>26345.329533282329</v>
      </c>
      <c r="P2" s="9">
        <v>19000</v>
      </c>
      <c r="Q2" s="9">
        <v>100000</v>
      </c>
      <c r="R2" s="9">
        <v>82500</v>
      </c>
      <c r="S2" s="97">
        <f>N2*P2</f>
        <v>50056126.113236427</v>
      </c>
      <c r="T2" s="97">
        <f>N2*Q2</f>
        <v>263453295.33282328</v>
      </c>
      <c r="U2" s="97">
        <f>N2*R2</f>
        <v>217348968.64957923</v>
      </c>
    </row>
    <row r="3" spans="1:21">
      <c r="A3" s="3" t="s">
        <v>59</v>
      </c>
      <c r="B3" s="106">
        <v>54658515</v>
      </c>
      <c r="C3" s="105">
        <v>8198177.25</v>
      </c>
      <c r="D3" s="3">
        <v>1</v>
      </c>
      <c r="E3" s="114">
        <v>10</v>
      </c>
      <c r="F3" s="114">
        <v>5</v>
      </c>
      <c r="G3" s="3">
        <v>1727</v>
      </c>
      <c r="H3" s="85">
        <f t="shared" ref="H3:H4" si="0">C3/G3</f>
        <v>4747.0626809496234</v>
      </c>
      <c r="I3" s="5">
        <f t="shared" ref="I3:I4" si="1">H3*E3</f>
        <v>47470.626809496236</v>
      </c>
      <c r="J3" s="5">
        <f t="shared" ref="J3:J4" si="2">H3/F3</f>
        <v>949.41253618992471</v>
      </c>
      <c r="K3" s="3">
        <v>1</v>
      </c>
      <c r="L3" s="3">
        <v>10</v>
      </c>
      <c r="M3" s="3">
        <v>5</v>
      </c>
      <c r="N3" s="5">
        <f t="shared" ref="N3:N4" si="3">H3/M3</f>
        <v>949.41253618992471</v>
      </c>
      <c r="O3" s="5">
        <f t="shared" ref="O3:O4" si="4">N3*L3</f>
        <v>9494.1253618992469</v>
      </c>
      <c r="P3" s="9">
        <v>19000</v>
      </c>
      <c r="Q3" s="9">
        <v>100000</v>
      </c>
      <c r="R3" s="9">
        <v>82500</v>
      </c>
      <c r="S3" s="97">
        <f t="shared" ref="S3:S4" si="5">N3*P3</f>
        <v>18038838.18760857</v>
      </c>
      <c r="T3" s="97">
        <f t="shared" ref="T3:T4" si="6">N3*Q3</f>
        <v>94941253.618992478</v>
      </c>
      <c r="U3" s="97">
        <f t="shared" ref="U3:U4" si="7">N3*R3</f>
        <v>78326534.235668793</v>
      </c>
    </row>
    <row r="4" spans="1:21">
      <c r="A4" s="3" t="s">
        <v>60</v>
      </c>
      <c r="B4" s="109">
        <v>33644422</v>
      </c>
      <c r="C4" s="97">
        <v>5046633.3</v>
      </c>
      <c r="D4" s="3">
        <v>1</v>
      </c>
      <c r="E4" s="114">
        <v>10</v>
      </c>
      <c r="F4" s="114">
        <v>5</v>
      </c>
      <c r="G4" s="3">
        <v>2346</v>
      </c>
      <c r="H4" s="85">
        <f t="shared" si="0"/>
        <v>2151.1650895140665</v>
      </c>
      <c r="I4" s="5">
        <f t="shared" si="1"/>
        <v>21511.650895140665</v>
      </c>
      <c r="J4" s="5">
        <f t="shared" si="2"/>
        <v>430.23301790281329</v>
      </c>
      <c r="K4" s="3">
        <v>1</v>
      </c>
      <c r="L4" s="3">
        <v>10</v>
      </c>
      <c r="M4" s="3">
        <v>5</v>
      </c>
      <c r="N4" s="5">
        <f t="shared" si="3"/>
        <v>430.23301790281329</v>
      </c>
      <c r="O4" s="5">
        <f t="shared" si="4"/>
        <v>4302.330179028133</v>
      </c>
      <c r="P4" s="9">
        <v>19000</v>
      </c>
      <c r="Q4" s="9">
        <v>100000</v>
      </c>
      <c r="R4" s="9">
        <v>82500</v>
      </c>
      <c r="S4" s="97">
        <f t="shared" si="5"/>
        <v>8174427.340153452</v>
      </c>
      <c r="T4" s="97">
        <f t="shared" si="6"/>
        <v>43023301.790281326</v>
      </c>
      <c r="U4" s="97">
        <f t="shared" si="7"/>
        <v>35494223.976982094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C17C4-795C-499D-B7EB-B8A64CF8DE3E}">
  <dimension ref="B7:O28"/>
  <sheetViews>
    <sheetView topLeftCell="D1" workbookViewId="0">
      <selection activeCell="B5" sqref="B5"/>
    </sheetView>
  </sheetViews>
  <sheetFormatPr defaultRowHeight="15"/>
  <cols>
    <col min="2" max="2" width="31.140625" customWidth="1"/>
    <col min="3" max="3" width="20.140625" customWidth="1"/>
    <col min="4" max="4" width="15.42578125" customWidth="1"/>
    <col min="5" max="5" width="24.140625" customWidth="1"/>
    <col min="6" max="6" width="9.28515625" customWidth="1"/>
    <col min="7" max="8" width="27.42578125" customWidth="1"/>
    <col min="9" max="9" width="19.28515625" customWidth="1"/>
    <col min="10" max="10" width="17" bestFit="1" customWidth="1"/>
    <col min="11" max="11" width="7.7109375" customWidth="1"/>
    <col min="12" max="12" width="28" bestFit="1" customWidth="1"/>
    <col min="13" max="13" width="18.5703125" customWidth="1"/>
    <col min="14" max="14" width="22.28515625" customWidth="1"/>
    <col min="15" max="15" width="31.140625" customWidth="1"/>
  </cols>
  <sheetData>
    <row r="7" spans="2:15">
      <c r="B7" s="142" t="s">
        <v>96</v>
      </c>
      <c r="C7" s="142"/>
      <c r="D7" s="142"/>
      <c r="E7" s="142"/>
      <c r="G7" s="142" t="s">
        <v>59</v>
      </c>
      <c r="H7" s="142"/>
      <c r="I7" s="142"/>
      <c r="J7" s="142"/>
      <c r="L7" s="142" t="s">
        <v>97</v>
      </c>
      <c r="M7" s="142"/>
      <c r="N7" s="142"/>
      <c r="O7" s="142"/>
    </row>
    <row r="8" spans="2:15">
      <c r="B8" s="39"/>
      <c r="C8" s="39" t="s">
        <v>32</v>
      </c>
      <c r="D8" s="39" t="s">
        <v>33</v>
      </c>
      <c r="E8" s="39" t="s">
        <v>64</v>
      </c>
      <c r="F8" s="44"/>
      <c r="G8" s="39"/>
      <c r="H8" s="40" t="s">
        <v>32</v>
      </c>
      <c r="I8" s="40" t="s">
        <v>33</v>
      </c>
      <c r="J8" s="40" t="s">
        <v>64</v>
      </c>
      <c r="L8" s="39"/>
      <c r="M8" s="40" t="s">
        <v>32</v>
      </c>
      <c r="N8" s="40" t="s">
        <v>33</v>
      </c>
      <c r="O8" s="40" t="s">
        <v>64</v>
      </c>
    </row>
    <row r="9" spans="2:15">
      <c r="B9" s="3" t="s">
        <v>4</v>
      </c>
      <c r="C9" s="3"/>
      <c r="D9" s="3"/>
      <c r="E9" s="8">
        <v>150000000</v>
      </c>
      <c r="G9" s="3" t="s">
        <v>4</v>
      </c>
      <c r="H9" s="3"/>
      <c r="I9" s="3"/>
      <c r="J9" s="8">
        <v>100000000</v>
      </c>
      <c r="L9" s="3" t="s">
        <v>4</v>
      </c>
      <c r="M9" s="3"/>
      <c r="N9" s="3"/>
      <c r="O9" s="8">
        <v>80000000</v>
      </c>
    </row>
    <row r="10" spans="2:15">
      <c r="B10" s="3" t="s">
        <v>98</v>
      </c>
      <c r="C10" s="3"/>
      <c r="D10" s="3"/>
      <c r="E10" s="45">
        <v>1256000</v>
      </c>
      <c r="F10" s="46"/>
      <c r="G10" s="3" t="s">
        <v>98</v>
      </c>
      <c r="H10" s="3"/>
      <c r="I10" s="3"/>
      <c r="J10" s="45">
        <v>1256000</v>
      </c>
      <c r="L10" s="3" t="s">
        <v>98</v>
      </c>
      <c r="M10" s="3"/>
      <c r="N10" s="3"/>
      <c r="O10" s="45">
        <v>1256000</v>
      </c>
    </row>
    <row r="11" spans="2:15">
      <c r="B11" s="3" t="s">
        <v>99</v>
      </c>
      <c r="C11" s="3"/>
      <c r="D11" s="3"/>
      <c r="E11" s="47">
        <v>525000</v>
      </c>
      <c r="G11" s="3" t="s">
        <v>99</v>
      </c>
      <c r="H11" s="3"/>
      <c r="I11" s="3"/>
      <c r="J11" s="47">
        <v>525000</v>
      </c>
      <c r="L11" s="3" t="s">
        <v>99</v>
      </c>
      <c r="M11" s="3"/>
      <c r="N11" s="3"/>
      <c r="O11" s="47">
        <v>525000</v>
      </c>
    </row>
    <row r="12" spans="2:15">
      <c r="B12" s="3" t="s">
        <v>100</v>
      </c>
      <c r="C12" s="48"/>
      <c r="D12" s="3"/>
      <c r="E12" s="49">
        <f>Receita!D21</f>
        <v>7774190</v>
      </c>
      <c r="G12" s="3" t="s">
        <v>101</v>
      </c>
      <c r="H12" s="48"/>
      <c r="I12" s="3"/>
      <c r="J12" s="49">
        <f>Receita!D21</f>
        <v>7774190</v>
      </c>
      <c r="L12" s="3" t="s">
        <v>100</v>
      </c>
      <c r="M12" s="48"/>
      <c r="N12" s="3"/>
      <c r="O12" s="49">
        <f>Receita!D21</f>
        <v>7774190</v>
      </c>
    </row>
    <row r="13" spans="2:15">
      <c r="B13" s="3" t="s">
        <v>102</v>
      </c>
      <c r="C13" s="50">
        <v>15000</v>
      </c>
      <c r="D13" s="50">
        <v>80000</v>
      </c>
      <c r="E13" s="49">
        <v>68500</v>
      </c>
      <c r="G13" s="3" t="s">
        <v>103</v>
      </c>
      <c r="H13" s="50">
        <v>15000</v>
      </c>
      <c r="I13" s="50">
        <v>80000</v>
      </c>
      <c r="J13" s="49">
        <v>68500</v>
      </c>
      <c r="L13" s="3" t="s">
        <v>103</v>
      </c>
      <c r="M13" s="50">
        <v>15000</v>
      </c>
      <c r="N13" s="50">
        <v>80000</v>
      </c>
      <c r="O13" s="49">
        <v>68500</v>
      </c>
    </row>
    <row r="14" spans="2:15">
      <c r="B14" s="3" t="s">
        <v>104</v>
      </c>
      <c r="C14" s="50">
        <v>16000</v>
      </c>
      <c r="D14" s="50">
        <v>90000</v>
      </c>
      <c r="E14" s="49">
        <v>78500</v>
      </c>
      <c r="G14" s="3" t="s">
        <v>105</v>
      </c>
      <c r="H14" s="50">
        <v>16000</v>
      </c>
      <c r="I14" s="50">
        <v>90000</v>
      </c>
      <c r="J14" s="49">
        <v>78500</v>
      </c>
      <c r="L14" s="3" t="s">
        <v>105</v>
      </c>
      <c r="M14" s="50">
        <v>16000</v>
      </c>
      <c r="N14" s="50">
        <v>90000</v>
      </c>
      <c r="O14" s="49">
        <v>78500</v>
      </c>
    </row>
    <row r="15" spans="2:15">
      <c r="B15" s="3" t="s">
        <v>106</v>
      </c>
      <c r="C15" s="50">
        <v>19000</v>
      </c>
      <c r="D15" s="50">
        <v>100000</v>
      </c>
      <c r="E15" s="49">
        <v>82500</v>
      </c>
      <c r="G15" s="3" t="s">
        <v>106</v>
      </c>
      <c r="H15" s="50">
        <v>19000</v>
      </c>
      <c r="I15" s="50">
        <v>100000</v>
      </c>
      <c r="J15" s="49">
        <v>82500</v>
      </c>
      <c r="L15" s="3" t="s">
        <v>106</v>
      </c>
      <c r="M15" s="50">
        <v>19000</v>
      </c>
      <c r="N15" s="50">
        <v>100000</v>
      </c>
      <c r="O15" s="49">
        <v>82500</v>
      </c>
    </row>
    <row r="16" spans="2:15">
      <c r="B16" s="3" t="s">
        <v>107</v>
      </c>
      <c r="C16" s="3"/>
      <c r="D16" s="3"/>
      <c r="E16" s="8">
        <f>SUM(E9:E15)</f>
        <v>159784690</v>
      </c>
      <c r="G16" s="3" t="s">
        <v>107</v>
      </c>
      <c r="H16" s="3"/>
      <c r="I16" s="3"/>
      <c r="J16" s="8">
        <f>SUM(J9:J15)</f>
        <v>109784690</v>
      </c>
      <c r="L16" s="3" t="s">
        <v>107</v>
      </c>
      <c r="M16" s="3"/>
      <c r="N16" s="3"/>
      <c r="O16" s="8">
        <f>SUM(O9:O15)</f>
        <v>89784690</v>
      </c>
    </row>
    <row r="24" spans="11:11">
      <c r="K24" s="53"/>
    </row>
    <row r="27" spans="11:11">
      <c r="K27" s="53"/>
    </row>
    <row r="28" spans="11:11">
      <c r="K28" s="53"/>
    </row>
  </sheetData>
  <mergeCells count="3">
    <mergeCell ref="G7:J7"/>
    <mergeCell ref="L7:O7"/>
    <mergeCell ref="B7:E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CB49-BF70-4ACC-ABF1-37C50F04D61D}">
  <dimension ref="A1:Z20"/>
  <sheetViews>
    <sheetView topLeftCell="C1" workbookViewId="0">
      <selection activeCell="L12" sqref="L12"/>
    </sheetView>
  </sheetViews>
  <sheetFormatPr defaultRowHeight="15"/>
  <cols>
    <col min="1" max="1" width="18" bestFit="1" customWidth="1"/>
    <col min="2" max="2" width="11.140625" bestFit="1" customWidth="1"/>
    <col min="3" max="3" width="16.85546875" bestFit="1" customWidth="1"/>
    <col min="4" max="4" width="17" bestFit="1" customWidth="1"/>
    <col min="5" max="5" width="14.42578125" bestFit="1" customWidth="1"/>
    <col min="6" max="6" width="22.5703125" bestFit="1" customWidth="1"/>
    <col min="7" max="7" width="28" bestFit="1" customWidth="1"/>
    <col min="8" max="8" width="27.140625" bestFit="1" customWidth="1"/>
    <col min="9" max="9" width="28" customWidth="1"/>
    <col min="10" max="10" width="25.85546875" bestFit="1" customWidth="1"/>
    <col min="11" max="11" width="28.28515625" bestFit="1" customWidth="1"/>
    <col min="12" max="12" width="28.5703125" bestFit="1" customWidth="1"/>
    <col min="13" max="13" width="28" bestFit="1" customWidth="1"/>
    <col min="14" max="14" width="31.5703125" bestFit="1" customWidth="1"/>
    <col min="15" max="15" width="31.85546875" bestFit="1" customWidth="1"/>
    <col min="16" max="16" width="26.28515625" bestFit="1" customWidth="1"/>
    <col min="18" max="18" width="28" bestFit="1" customWidth="1"/>
    <col min="19" max="19" width="13.28515625" bestFit="1" customWidth="1"/>
    <col min="20" max="20" width="14.28515625" bestFit="1" customWidth="1"/>
    <col min="21" max="21" width="16.42578125" bestFit="1" customWidth="1"/>
    <col min="23" max="23" width="28" bestFit="1" customWidth="1"/>
    <col min="24" max="24" width="13.28515625" bestFit="1" customWidth="1"/>
    <col min="25" max="25" width="14.28515625" bestFit="1" customWidth="1"/>
    <col min="26" max="26" width="15.42578125" bestFit="1" customWidth="1"/>
  </cols>
  <sheetData>
    <row r="1" spans="1:26">
      <c r="A1" s="76" t="s">
        <v>35</v>
      </c>
      <c r="B1" s="76" t="s">
        <v>0</v>
      </c>
      <c r="C1" s="76" t="s">
        <v>36</v>
      </c>
      <c r="D1" s="3" t="s">
        <v>4</v>
      </c>
      <c r="E1" s="3" t="s">
        <v>98</v>
      </c>
      <c r="F1" s="3" t="s">
        <v>99</v>
      </c>
      <c r="G1" s="3" t="s">
        <v>102</v>
      </c>
      <c r="H1" s="39" t="s">
        <v>108</v>
      </c>
      <c r="I1" s="39" t="s">
        <v>109</v>
      </c>
      <c r="J1" s="3" t="s">
        <v>104</v>
      </c>
      <c r="K1" s="39" t="s">
        <v>110</v>
      </c>
      <c r="L1" s="39" t="s">
        <v>111</v>
      </c>
      <c r="M1" s="3" t="s">
        <v>106</v>
      </c>
      <c r="N1" s="39" t="s">
        <v>112</v>
      </c>
      <c r="O1" s="39" t="s">
        <v>113</v>
      </c>
      <c r="P1" s="122" t="s">
        <v>107</v>
      </c>
    </row>
    <row r="2" spans="1:26">
      <c r="A2" s="3" t="s">
        <v>58</v>
      </c>
      <c r="B2" s="106">
        <v>114777819</v>
      </c>
      <c r="C2" s="105">
        <v>17216672.850000001</v>
      </c>
      <c r="D2" s="8">
        <v>150000000</v>
      </c>
      <c r="E2" s="45">
        <v>1256000</v>
      </c>
      <c r="F2" s="47">
        <v>525000</v>
      </c>
      <c r="G2" s="49">
        <v>68500</v>
      </c>
      <c r="H2" s="50">
        <v>15000</v>
      </c>
      <c r="I2" s="50">
        <v>80000</v>
      </c>
      <c r="J2" s="49">
        <v>78500</v>
      </c>
      <c r="K2" s="50">
        <v>16000</v>
      </c>
      <c r="L2" s="50">
        <v>90000</v>
      </c>
      <c r="M2" s="49">
        <v>82500</v>
      </c>
      <c r="N2" s="50">
        <v>19000</v>
      </c>
      <c r="O2" s="50">
        <v>100000</v>
      </c>
      <c r="P2" s="8">
        <f>SUM(D2:M2)</f>
        <v>152211500</v>
      </c>
    </row>
    <row r="3" spans="1:26">
      <c r="A3" s="3" t="s">
        <v>59</v>
      </c>
      <c r="B3" s="106">
        <v>54658515</v>
      </c>
      <c r="C3" s="105">
        <v>8198177.25</v>
      </c>
      <c r="D3" s="8">
        <v>100000000</v>
      </c>
      <c r="E3" s="45">
        <v>1256000</v>
      </c>
      <c r="F3" s="47">
        <v>525000</v>
      </c>
      <c r="G3" s="49">
        <v>68500</v>
      </c>
      <c r="H3" s="50">
        <v>15000</v>
      </c>
      <c r="I3" s="50">
        <v>80000</v>
      </c>
      <c r="J3" s="49">
        <v>78500</v>
      </c>
      <c r="K3" s="50">
        <v>16000</v>
      </c>
      <c r="L3" s="50">
        <v>90000</v>
      </c>
      <c r="M3" s="49">
        <v>82500</v>
      </c>
      <c r="N3" s="50">
        <v>19000</v>
      </c>
      <c r="O3" s="50">
        <v>100000</v>
      </c>
      <c r="P3" s="8">
        <f t="shared" ref="P3:P4" si="0">SUM(D3:M3)</f>
        <v>102211500</v>
      </c>
    </row>
    <row r="4" spans="1:26">
      <c r="A4" s="3" t="s">
        <v>60</v>
      </c>
      <c r="B4" s="109">
        <v>33644422</v>
      </c>
      <c r="C4" s="97">
        <v>5046633.3</v>
      </c>
      <c r="D4" s="8">
        <v>80000000</v>
      </c>
      <c r="E4" s="45">
        <v>1256000</v>
      </c>
      <c r="F4" s="47">
        <v>525000</v>
      </c>
      <c r="G4" s="49">
        <v>68500</v>
      </c>
      <c r="H4" s="50">
        <v>15000</v>
      </c>
      <c r="I4" s="50">
        <v>80000</v>
      </c>
      <c r="J4" s="49">
        <v>78500</v>
      </c>
      <c r="K4" s="50">
        <v>16000</v>
      </c>
      <c r="L4" s="50">
        <v>90000</v>
      </c>
      <c r="M4" s="49">
        <v>82500</v>
      </c>
      <c r="N4" s="50">
        <v>19000</v>
      </c>
      <c r="O4" s="50">
        <v>100000</v>
      </c>
      <c r="P4" s="8">
        <f t="shared" si="0"/>
        <v>82211500</v>
      </c>
    </row>
    <row r="11" spans="1:26"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R11" s="152"/>
      <c r="S11" s="152"/>
      <c r="T11" s="152"/>
      <c r="U11" s="152"/>
      <c r="W11" s="152"/>
      <c r="X11" s="152"/>
      <c r="Y11" s="152"/>
      <c r="Z11" s="152"/>
    </row>
    <row r="12" spans="1:26"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67"/>
      <c r="T12" s="67"/>
      <c r="U12" s="67"/>
      <c r="W12" s="44"/>
      <c r="X12" s="67"/>
      <c r="Y12" s="67"/>
      <c r="Z12" s="67"/>
    </row>
    <row r="13" spans="1:26">
      <c r="P13" s="54"/>
      <c r="U13" s="54"/>
      <c r="Z13" s="54"/>
    </row>
    <row r="14" spans="1:26">
      <c r="P14" s="46"/>
      <c r="Q14" s="46"/>
      <c r="U14" s="46"/>
      <c r="Z14" s="46"/>
    </row>
    <row r="15" spans="1:26">
      <c r="P15" s="119"/>
      <c r="U15" s="119"/>
      <c r="Z15" s="119"/>
    </row>
    <row r="16" spans="1:26">
      <c r="J16" s="120"/>
      <c r="K16" s="120"/>
      <c r="L16" s="120"/>
      <c r="P16" s="53"/>
      <c r="S16" s="120"/>
      <c r="U16" s="53"/>
      <c r="X16" s="120"/>
      <c r="Z16" s="53"/>
    </row>
    <row r="17" spans="10:26">
      <c r="J17" s="121"/>
      <c r="K17" s="121"/>
      <c r="L17" s="121"/>
      <c r="M17" s="121"/>
      <c r="N17" s="121"/>
      <c r="O17" s="121"/>
      <c r="P17" s="53"/>
      <c r="S17" s="121"/>
      <c r="T17" s="121"/>
      <c r="U17" s="53"/>
      <c r="X17" s="121"/>
      <c r="Y17" s="121"/>
      <c r="Z17" s="53"/>
    </row>
    <row r="18" spans="10:26">
      <c r="J18" s="121"/>
      <c r="K18" s="121"/>
      <c r="L18" s="121"/>
      <c r="M18" s="121"/>
      <c r="N18" s="121"/>
      <c r="O18" s="121"/>
      <c r="P18" s="53"/>
      <c r="S18" s="121"/>
      <c r="T18" s="121"/>
      <c r="U18" s="53"/>
      <c r="X18" s="121"/>
      <c r="Y18" s="121"/>
      <c r="Z18" s="53"/>
    </row>
    <row r="19" spans="10:26">
      <c r="J19" s="121"/>
      <c r="K19" s="121"/>
      <c r="L19" s="121"/>
      <c r="M19" s="121"/>
      <c r="N19" s="121"/>
      <c r="O19" s="121"/>
      <c r="P19" s="53"/>
      <c r="S19" s="121"/>
      <c r="T19" s="121"/>
      <c r="U19" s="53"/>
      <c r="X19" s="121"/>
      <c r="Y19" s="121"/>
      <c r="Z19" s="53"/>
    </row>
    <row r="20" spans="10:26">
      <c r="P20" s="54"/>
      <c r="U20" s="54"/>
      <c r="Z20" s="54"/>
    </row>
  </sheetData>
  <mergeCells count="3">
    <mergeCell ref="G11:P11"/>
    <mergeCell ref="R11:U11"/>
    <mergeCell ref="W11:Z1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f40c674-3a65-4daa-a1c2-e0dce2f5e7fb" xsi:nil="true"/>
    <lcf76f155ced4ddcb4097134ff3c332f xmlns="5f1071c9-4910-42e8-86ce-7eb545bff1c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F06411FA5664741B6613914AE82B96A" ma:contentTypeVersion="10" ma:contentTypeDescription="Crie um novo documento." ma:contentTypeScope="" ma:versionID="3da6600781d77e6e3fcfd0488412639b">
  <xsd:schema xmlns:xsd="http://www.w3.org/2001/XMLSchema" xmlns:xs="http://www.w3.org/2001/XMLSchema" xmlns:p="http://schemas.microsoft.com/office/2006/metadata/properties" xmlns:ns2="5f1071c9-4910-42e8-86ce-7eb545bff1cd" xmlns:ns3="6f40c674-3a65-4daa-a1c2-e0dce2f5e7fb" targetNamespace="http://schemas.microsoft.com/office/2006/metadata/properties" ma:root="true" ma:fieldsID="f1dcb826bf29a5a91c91164111881747" ns2:_="" ns3:_="">
    <xsd:import namespace="5f1071c9-4910-42e8-86ce-7eb545bff1cd"/>
    <xsd:import namespace="6f40c674-3a65-4daa-a1c2-e0dce2f5e7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1071c9-4910-42e8-86ce-7eb545bff1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0c674-3a65-4daa-a1c2-e0dce2f5e7f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a642a329-dc48-4681-a091-f3fda21f0226}" ma:internalName="TaxCatchAll" ma:showField="CatchAllData" ma:web="6f40c674-3a65-4daa-a1c2-e0dce2f5e7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3E48D7-E2EF-42F9-8274-BECE8D6F3B31}"/>
</file>

<file path=customXml/itemProps2.xml><?xml version="1.0" encoding="utf-8"?>
<ds:datastoreItem xmlns:ds="http://schemas.openxmlformats.org/officeDocument/2006/customXml" ds:itemID="{32D27F26-FEC5-4F45-9FB0-F82D93ACC98E}"/>
</file>

<file path=customXml/itemProps3.xml><?xml version="1.0" encoding="utf-8"?>
<ds:datastoreItem xmlns:ds="http://schemas.openxmlformats.org/officeDocument/2006/customXml" ds:itemID="{B70A4F00-C4A4-4DA8-9FA2-B323F91C14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FABIO APARECIDO LEITE DE ARAUJO</dc:creator>
  <cp:keywords/>
  <dc:description/>
  <cp:lastModifiedBy>ANA LUIZA GONCALVES CAMPOS</cp:lastModifiedBy>
  <cp:revision/>
  <dcterms:created xsi:type="dcterms:W3CDTF">2025-05-01T23:30:30Z</dcterms:created>
  <dcterms:modified xsi:type="dcterms:W3CDTF">2025-06-10T22:45:10Z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0x0101003F06411FA5664741B6613914AE82B96A</vt:lpwstr>
  </property>
  <property fmtid="{D5CDD505-2E9C-101B-9397-08002B2CF9AE}" pid="3" name="MediaServiceImageTags">
    <vt:lpwstr/>
  </property>
</Properties>
</file>