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sim_tacc_James\"/>
    </mc:Choice>
  </mc:AlternateContent>
  <bookViews>
    <workbookView xWindow="0" yWindow="465" windowWidth="12210" windowHeight="6300"/>
  </bookViews>
  <sheets>
    <sheet name="tacc" sheetId="1" r:id="rId1"/>
    <sheet name="time proje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O11" i="1"/>
  <c r="O3" i="1"/>
  <c r="O4" i="1"/>
  <c r="O5" i="1"/>
  <c r="O6" i="1"/>
  <c r="O7" i="1"/>
  <c r="O8" i="1"/>
  <c r="O9" i="1"/>
  <c r="O2" i="1"/>
  <c r="N11" i="1"/>
  <c r="N3" i="1"/>
  <c r="N4" i="1"/>
  <c r="N5" i="1"/>
  <c r="N6" i="1"/>
  <c r="N7" i="1"/>
  <c r="N8" i="1"/>
  <c r="N9" i="1"/>
  <c r="N2" i="1"/>
  <c r="H11" i="1"/>
  <c r="K11" i="1"/>
  <c r="K9" i="1"/>
  <c r="L9" i="1"/>
  <c r="M9" i="1"/>
  <c r="J9" i="1"/>
  <c r="H9" i="1"/>
  <c r="D9" i="1" l="1"/>
  <c r="J8" i="1"/>
  <c r="L8" i="1"/>
  <c r="M8" i="1"/>
  <c r="K8" i="1"/>
  <c r="H8" i="1"/>
  <c r="K12" i="1" l="1"/>
  <c r="C18" i="3" s="1"/>
  <c r="M3" i="1"/>
  <c r="M4" i="1"/>
  <c r="M5" i="1"/>
  <c r="M6" i="1"/>
  <c r="M7" i="1"/>
  <c r="M2" i="1"/>
  <c r="J7" i="1"/>
  <c r="L7" i="1"/>
  <c r="K7" i="1"/>
  <c r="H7" i="1"/>
  <c r="D8" i="1"/>
  <c r="J6" i="1"/>
  <c r="H6" i="1"/>
  <c r="L6" i="1" s="1"/>
  <c r="D7" i="1"/>
  <c r="J5" i="1" l="1"/>
  <c r="D6" i="1"/>
  <c r="K6" i="1" s="1"/>
  <c r="D3" i="1"/>
  <c r="D4" i="1"/>
  <c r="D5" i="1"/>
  <c r="K5" i="1" s="1"/>
  <c r="D2" i="1"/>
  <c r="H5" i="1"/>
  <c r="L5" i="1" s="1"/>
  <c r="H4" i="1" l="1"/>
  <c r="J4" i="1" l="1"/>
  <c r="L4" i="1" s="1"/>
  <c r="K4" i="1"/>
  <c r="K2" i="1"/>
  <c r="K3" i="1"/>
  <c r="H3" i="1"/>
  <c r="H2" i="1"/>
  <c r="C15" i="3" l="1"/>
  <c r="J3" i="1"/>
  <c r="L3" i="1" s="1"/>
  <c r="J2" i="1"/>
  <c r="L2" i="1" s="1"/>
  <c r="B8" i="3" l="1"/>
  <c r="B9" i="3"/>
  <c r="B10" i="3"/>
  <c r="C17" i="3"/>
  <c r="C22" i="3"/>
  <c r="C24" i="3" s="1"/>
  <c r="C14" i="3"/>
  <c r="C6" i="3" s="1"/>
  <c r="D6" i="3" s="1"/>
  <c r="B7" i="3"/>
  <c r="B6" i="3"/>
  <c r="B5" i="3"/>
  <c r="B4" i="3"/>
  <c r="B3" i="3"/>
  <c r="B2" i="3"/>
  <c r="E3" i="3" l="1"/>
  <c r="E4" i="3"/>
  <c r="E5" i="3"/>
  <c r="E6" i="3"/>
  <c r="F6" i="3" s="1"/>
  <c r="G6" i="3" s="1"/>
  <c r="E7" i="3"/>
  <c r="E9" i="3"/>
  <c r="E10" i="3"/>
  <c r="E2" i="3"/>
  <c r="E8" i="3"/>
  <c r="D14" i="3"/>
  <c r="C10" i="3"/>
  <c r="D10" i="3" s="1"/>
  <c r="C9" i="3"/>
  <c r="D9" i="3" s="1"/>
  <c r="C8" i="3"/>
  <c r="D8" i="3" s="1"/>
  <c r="C5" i="3"/>
  <c r="D5" i="3" s="1"/>
  <c r="C3" i="3"/>
  <c r="D3" i="3" s="1"/>
  <c r="C7" i="3"/>
  <c r="D7" i="3" s="1"/>
  <c r="C4" i="3"/>
  <c r="D4" i="3" s="1"/>
  <c r="C2" i="3"/>
  <c r="D2" i="3" s="1"/>
  <c r="F9" i="3" l="1"/>
  <c r="G9" i="3" s="1"/>
  <c r="F2" i="3"/>
  <c r="G2" i="3" s="1"/>
  <c r="F7" i="3"/>
  <c r="G7" i="3" s="1"/>
  <c r="F3" i="3"/>
  <c r="G3" i="3" s="1"/>
  <c r="F8" i="3"/>
  <c r="G8" i="3" s="1"/>
  <c r="F5" i="3"/>
  <c r="G5" i="3" s="1"/>
  <c r="F10" i="3"/>
  <c r="G10" i="3" s="1"/>
  <c r="F4" i="3"/>
  <c r="G4" i="3" s="1"/>
</calcChain>
</file>

<file path=xl/sharedStrings.xml><?xml version="1.0" encoding="utf-8"?>
<sst xmlns="http://schemas.openxmlformats.org/spreadsheetml/2006/main" count="44" uniqueCount="34">
  <si>
    <t>date</t>
  </si>
  <si>
    <t>R</t>
  </si>
  <si>
    <t>iterations</t>
  </si>
  <si>
    <t>N</t>
  </si>
  <si>
    <t>n</t>
  </si>
  <si>
    <t>seed_overall</t>
  </si>
  <si>
    <t>max n</t>
  </si>
  <si>
    <t>Conditions per core</t>
  </si>
  <si>
    <t>Max conditions per core</t>
  </si>
  <si>
    <t>Max hours per core</t>
  </si>
  <si>
    <t>Time per replication</t>
  </si>
  <si>
    <t>Reps per condition</t>
  </si>
  <si>
    <t>Time per condition per core</t>
  </si>
  <si>
    <t>Total reps</t>
  </si>
  <si>
    <t>SU per job</t>
  </si>
  <si>
    <t>Total SU</t>
  </si>
  <si>
    <t>Reps per job</t>
  </si>
  <si>
    <t>Jobs</t>
  </si>
  <si>
    <t xml:space="preserve">set.seed(20201108) </t>
  </si>
  <si>
    <t>batches</t>
  </si>
  <si>
    <t>tacc time</t>
  </si>
  <si>
    <t>time elapsed</t>
  </si>
  <si>
    <t>hours elapsed</t>
  </si>
  <si>
    <t>Batches per job</t>
  </si>
  <si>
    <t>Conditions per job</t>
  </si>
  <si>
    <t>time per iteration</t>
  </si>
  <si>
    <t>Time per iteration</t>
  </si>
  <si>
    <t>Overhead</t>
  </si>
  <si>
    <t>Overhead per node</t>
  </si>
  <si>
    <t>Total</t>
  </si>
  <si>
    <t>Sus</t>
  </si>
  <si>
    <t>Core hours</t>
  </si>
  <si>
    <t>Days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</si>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</sst>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158" zoomScaleNormal="158" workbookViewId="0">
      <selection activeCell="I11" sqref="I11"/>
    </sheetView>
  </sheetViews>
  <sheetFormatPr defaultColWidth="11" defaultRowHeight="15.75" x14ac:dyDescent="0.25"/>
  <cols>
    <col min="2" max="2" width="19.375" customWidth="1"/>
    <col min="9" max="9" width="18.625" customWidth="1"/>
    <col min="10" max="10" width="12.25" bestFit="1" customWidth="1"/>
    <col min="11" max="11" width="18.625" customWidth="1"/>
    <col min="12" max="12" width="8.75" bestFit="1" customWidth="1"/>
  </cols>
  <sheetData>
    <row r="1" spans="1:15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G1" t="s">
        <v>19</v>
      </c>
      <c r="H1" t="s">
        <v>20</v>
      </c>
      <c r="I1" t="s">
        <v>21</v>
      </c>
      <c r="J1" t="s">
        <v>22</v>
      </c>
      <c r="K1" t="s">
        <v>25</v>
      </c>
      <c r="L1" t="s">
        <v>27</v>
      </c>
      <c r="M1" t="s">
        <v>28</v>
      </c>
      <c r="N1" t="s">
        <v>30</v>
      </c>
      <c r="O1" t="s">
        <v>31</v>
      </c>
    </row>
    <row r="2" spans="1:15" x14ac:dyDescent="0.25">
      <c r="A2" s="1">
        <v>44159</v>
      </c>
      <c r="B2" s="2" t="s">
        <v>18</v>
      </c>
      <c r="C2" s="2">
        <v>3</v>
      </c>
      <c r="D2" s="2">
        <f>68*C2</f>
        <v>204</v>
      </c>
      <c r="E2">
        <v>399</v>
      </c>
      <c r="F2">
        <v>2</v>
      </c>
      <c r="G2" s="2">
        <v>1</v>
      </c>
      <c r="H2" s="3">
        <f>0+45/60+9/60^2</f>
        <v>0.75249999999999995</v>
      </c>
      <c r="I2">
        <v>2166.087</v>
      </c>
      <c r="J2" s="3">
        <f t="shared" ref="J2:J9" si="0">I2/60^2</f>
        <v>0.60169083333333329</v>
      </c>
      <c r="K2">
        <f t="shared" ref="K2:K8" si="1">I2/F2/ROUNDUP(176*G2/D2,0)</f>
        <v>1083.0435</v>
      </c>
      <c r="L2" s="3">
        <f>H2-J2</f>
        <v>0.15080916666666666</v>
      </c>
      <c r="M2" s="3">
        <f>L2/C2</f>
        <v>5.0269722222222223E-2</v>
      </c>
      <c r="N2" s="4">
        <f>C2*H2*0.8</f>
        <v>1.806</v>
      </c>
      <c r="O2" s="4">
        <f>D2*J2</f>
        <v>122.74493</v>
      </c>
    </row>
    <row r="3" spans="1:15" x14ac:dyDescent="0.25">
      <c r="A3" s="1">
        <v>44159</v>
      </c>
      <c r="B3" s="2" t="s">
        <v>18</v>
      </c>
      <c r="C3" s="2">
        <v>4</v>
      </c>
      <c r="D3" s="2">
        <f t="shared" ref="D3:D7" si="2">68*C3</f>
        <v>272</v>
      </c>
      <c r="E3">
        <v>399</v>
      </c>
      <c r="F3" s="2">
        <v>50</v>
      </c>
      <c r="G3" s="2">
        <v>3</v>
      </c>
      <c r="H3" s="3">
        <f>18+48/60+42/60^2</f>
        <v>18.811666666666667</v>
      </c>
      <c r="I3" s="2">
        <v>66999.48</v>
      </c>
      <c r="J3" s="3">
        <f t="shared" si="0"/>
        <v>18.610966666666666</v>
      </c>
      <c r="K3">
        <f t="shared" si="1"/>
        <v>669.99479999999994</v>
      </c>
      <c r="L3" s="3">
        <f>H3-J3</f>
        <v>0.20070000000000121</v>
      </c>
      <c r="M3" s="3">
        <f t="shared" ref="M3:M8" si="3">L3/C3</f>
        <v>5.0175000000000303E-2</v>
      </c>
      <c r="N3" s="4">
        <f t="shared" ref="N3:N9" si="4">C3*H3*0.8</f>
        <v>60.19733333333334</v>
      </c>
      <c r="O3" s="4">
        <f t="shared" ref="O3:O9" si="5">D3*J3</f>
        <v>5062.1829333333335</v>
      </c>
    </row>
    <row r="4" spans="1:15" x14ac:dyDescent="0.25">
      <c r="A4" s="1">
        <v>44160</v>
      </c>
      <c r="B4" s="2" t="s">
        <v>18</v>
      </c>
      <c r="C4" s="2">
        <v>4</v>
      </c>
      <c r="D4" s="2">
        <f t="shared" si="2"/>
        <v>272</v>
      </c>
      <c r="E4">
        <v>399</v>
      </c>
      <c r="F4" s="2">
        <v>50</v>
      </c>
      <c r="G4" s="2">
        <v>3</v>
      </c>
      <c r="H4" s="3">
        <f>18+47/60+2/60^2</f>
        <v>18.783888888888889</v>
      </c>
      <c r="I4" s="2">
        <v>66901.86</v>
      </c>
      <c r="J4" s="3">
        <f t="shared" si="0"/>
        <v>18.583850000000002</v>
      </c>
      <c r="K4">
        <f t="shared" si="1"/>
        <v>669.01859999999999</v>
      </c>
      <c r="L4" s="3">
        <f t="shared" ref="L4:L8" si="6">H4-J4</f>
        <v>0.2000388888888871</v>
      </c>
      <c r="M4" s="3">
        <f t="shared" si="3"/>
        <v>5.0009722222221775E-2</v>
      </c>
      <c r="N4" s="4">
        <f t="shared" si="4"/>
        <v>60.108444444444444</v>
      </c>
      <c r="O4" s="4">
        <f t="shared" si="5"/>
        <v>5054.8072000000002</v>
      </c>
    </row>
    <row r="5" spans="1:15" x14ac:dyDescent="0.25">
      <c r="A5" s="1">
        <v>44161</v>
      </c>
      <c r="B5" s="2" t="s">
        <v>18</v>
      </c>
      <c r="C5" s="2">
        <v>4</v>
      </c>
      <c r="D5" s="2">
        <f t="shared" si="2"/>
        <v>272</v>
      </c>
      <c r="E5">
        <v>399</v>
      </c>
      <c r="F5" s="2">
        <v>50</v>
      </c>
      <c r="G5" s="2">
        <v>6</v>
      </c>
      <c r="H5" s="3">
        <f>30+38/60+16/60^2</f>
        <v>30.637777777777778</v>
      </c>
      <c r="I5" s="2">
        <v>109571.49</v>
      </c>
      <c r="J5" s="3">
        <f t="shared" si="0"/>
        <v>30.436525000000003</v>
      </c>
      <c r="K5" s="5">
        <f t="shared" si="1"/>
        <v>547.85744999999997</v>
      </c>
      <c r="L5" s="3">
        <f t="shared" si="6"/>
        <v>0.20125277777777484</v>
      </c>
      <c r="M5" s="3">
        <f t="shared" si="3"/>
        <v>5.031319444444371E-2</v>
      </c>
      <c r="N5" s="4">
        <f t="shared" si="4"/>
        <v>98.040888888888901</v>
      </c>
      <c r="O5" s="4">
        <f t="shared" si="5"/>
        <v>8278.7348000000002</v>
      </c>
    </row>
    <row r="6" spans="1:15" x14ac:dyDescent="0.25">
      <c r="A6" s="1">
        <v>44163</v>
      </c>
      <c r="B6" s="2" t="s">
        <v>18</v>
      </c>
      <c r="C6" s="2">
        <v>4</v>
      </c>
      <c r="D6" s="2">
        <f t="shared" si="2"/>
        <v>272</v>
      </c>
      <c r="E6">
        <v>399</v>
      </c>
      <c r="F6" s="2">
        <v>50</v>
      </c>
      <c r="G6" s="2">
        <v>6</v>
      </c>
      <c r="H6" s="3">
        <f>30+37/60+38/60^2</f>
        <v>30.627222222222223</v>
      </c>
      <c r="I6" s="2">
        <v>109531.86</v>
      </c>
      <c r="J6" s="3">
        <f t="shared" si="0"/>
        <v>30.425516666666667</v>
      </c>
      <c r="K6">
        <f t="shared" si="1"/>
        <v>547.65930000000003</v>
      </c>
      <c r="L6" s="3">
        <f t="shared" si="6"/>
        <v>0.2017055555555558</v>
      </c>
      <c r="M6" s="3">
        <f t="shared" si="3"/>
        <v>5.0426388888888951E-2</v>
      </c>
      <c r="N6" s="4">
        <f t="shared" si="4"/>
        <v>98.007111111111115</v>
      </c>
      <c r="O6" s="4">
        <f t="shared" si="5"/>
        <v>8275.7405333333336</v>
      </c>
    </row>
    <row r="7" spans="1:15" x14ac:dyDescent="0.25">
      <c r="A7" s="1">
        <v>44165</v>
      </c>
      <c r="B7" s="2" t="s">
        <v>18</v>
      </c>
      <c r="C7" s="2">
        <v>8</v>
      </c>
      <c r="D7" s="2">
        <f t="shared" si="2"/>
        <v>544</v>
      </c>
      <c r="E7">
        <v>399</v>
      </c>
      <c r="F7" s="2">
        <v>2</v>
      </c>
      <c r="G7" s="2">
        <v>3</v>
      </c>
      <c r="H7" s="3">
        <f>1+1/60+53/60^2</f>
        <v>1.0313888888888889</v>
      </c>
      <c r="I7" s="2">
        <v>2259.6889999999999</v>
      </c>
      <c r="J7" s="3">
        <f t="shared" si="0"/>
        <v>0.62769138888888887</v>
      </c>
      <c r="K7">
        <f t="shared" si="1"/>
        <v>1129.8444999999999</v>
      </c>
      <c r="L7" s="3">
        <f t="shared" si="6"/>
        <v>0.40369750000000004</v>
      </c>
      <c r="M7" s="3">
        <f t="shared" si="3"/>
        <v>5.0462187500000005E-2</v>
      </c>
      <c r="N7" s="4">
        <f t="shared" si="4"/>
        <v>6.600888888888889</v>
      </c>
      <c r="O7" s="4">
        <f t="shared" si="5"/>
        <v>341.46411555555557</v>
      </c>
    </row>
    <row r="8" spans="1:15" x14ac:dyDescent="0.25">
      <c r="A8" s="1">
        <v>44165</v>
      </c>
      <c r="B8" s="2" t="s">
        <v>18</v>
      </c>
      <c r="C8" s="2">
        <v>8</v>
      </c>
      <c r="D8" s="2">
        <f t="shared" ref="D8" si="7">68*C8</f>
        <v>544</v>
      </c>
      <c r="E8">
        <v>399</v>
      </c>
      <c r="F8" s="2">
        <v>50</v>
      </c>
      <c r="G8" s="2">
        <v>15</v>
      </c>
      <c r="H8" s="3">
        <f>37+48/60+13/60^2</f>
        <v>37.80361111111111</v>
      </c>
      <c r="I8" s="2">
        <v>134645.35999999999</v>
      </c>
      <c r="J8" s="3">
        <f t="shared" si="0"/>
        <v>37.401488888888885</v>
      </c>
      <c r="K8">
        <f t="shared" si="1"/>
        <v>538.58143999999993</v>
      </c>
      <c r="L8" s="3">
        <f t="shared" si="6"/>
        <v>0.40212222222222493</v>
      </c>
      <c r="M8" s="3">
        <f t="shared" si="3"/>
        <v>5.0265277777778117E-2</v>
      </c>
      <c r="N8" s="4">
        <f t="shared" si="4"/>
        <v>241.94311111111111</v>
      </c>
      <c r="O8" s="4">
        <f t="shared" si="5"/>
        <v>20346.409955555555</v>
      </c>
    </row>
    <row r="9" spans="1:15" x14ac:dyDescent="0.25">
      <c r="A9" s="1">
        <v>44167</v>
      </c>
      <c r="B9" s="2" t="s">
        <v>18</v>
      </c>
      <c r="C9" s="2">
        <v>8</v>
      </c>
      <c r="D9" s="2">
        <f t="shared" ref="D9" si="8">68*C9</f>
        <v>544</v>
      </c>
      <c r="E9">
        <v>399</v>
      </c>
      <c r="F9" s="2">
        <v>50</v>
      </c>
      <c r="G9" s="2">
        <v>15</v>
      </c>
      <c r="H9" s="3">
        <f>24+15+46/60+15/60^2</f>
        <v>39.770833333333336</v>
      </c>
      <c r="I9" s="2">
        <v>141739.45000000001</v>
      </c>
      <c r="J9" s="3">
        <f t="shared" si="0"/>
        <v>39.372069444444449</v>
      </c>
      <c r="K9">
        <f t="shared" ref="K9" si="9">I9/F9/ROUNDUP(176*G9/D9,0)</f>
        <v>566.95780000000002</v>
      </c>
      <c r="L9" s="3">
        <f t="shared" ref="L9" si="10">H9-J9</f>
        <v>0.3987638888888867</v>
      </c>
      <c r="M9" s="3">
        <f t="shared" ref="M9" si="11">L9/C9</f>
        <v>4.9845486111110837E-2</v>
      </c>
      <c r="N9" s="4">
        <f t="shared" si="4"/>
        <v>254.53333333333336</v>
      </c>
      <c r="O9" s="4">
        <f t="shared" si="5"/>
        <v>21418.405777777782</v>
      </c>
    </row>
    <row r="10" spans="1:15" x14ac:dyDescent="0.25">
      <c r="A10" s="1"/>
      <c r="B10" s="2"/>
      <c r="C10" s="2"/>
      <c r="D10" s="2"/>
      <c r="F10" s="2"/>
      <c r="G10" s="2"/>
      <c r="H10" s="2"/>
    </row>
    <row r="11" spans="1:15" x14ac:dyDescent="0.25">
      <c r="A11" t="s">
        <v>29</v>
      </c>
      <c r="C11" s="2"/>
      <c r="D11" s="2"/>
      <c r="H11" s="3">
        <f>SUM(H2:H9)</f>
        <v>178.21888888888893</v>
      </c>
      <c r="J11" t="s">
        <v>26</v>
      </c>
      <c r="K11" s="5">
        <f>K9</f>
        <v>566.95780000000002</v>
      </c>
      <c r="N11" s="4">
        <f>SUM(N2:N9)</f>
        <v>821.23711111111106</v>
      </c>
      <c r="O11" s="4">
        <f>SUM(O2:O9)</f>
        <v>68900.490245555557</v>
      </c>
    </row>
    <row r="12" spans="1:15" x14ac:dyDescent="0.25">
      <c r="C12" s="2"/>
      <c r="D12" s="2"/>
      <c r="J12" t="s">
        <v>28</v>
      </c>
      <c r="K12" s="3">
        <f>AVERAGE(M2:M9)</f>
        <v>5.0220872395833241E-2</v>
      </c>
    </row>
    <row r="13" spans="1:15" x14ac:dyDescent="0.25">
      <c r="C13" s="2"/>
      <c r="D13" s="2"/>
      <c r="N13" t="s">
        <v>32</v>
      </c>
      <c r="O13" s="4">
        <f>O11/24</f>
        <v>2870.8537602314814</v>
      </c>
    </row>
    <row r="14" spans="1:15" x14ac:dyDescent="0.25">
      <c r="C14" s="2"/>
      <c r="D14" s="2"/>
      <c r="N14" t="s">
        <v>33</v>
      </c>
      <c r="O14" s="3">
        <f>O13/365</f>
        <v>7.865352767757483</v>
      </c>
    </row>
    <row r="15" spans="1:15" x14ac:dyDescent="0.25">
      <c r="C15" s="2"/>
      <c r="D15" s="2"/>
    </row>
    <row r="16" spans="1:15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  <row r="31" spans="3:4" x14ac:dyDescent="0.25">
      <c r="C31" s="2"/>
      <c r="D31" s="2"/>
    </row>
    <row r="32" spans="3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  <row r="39" spans="3:4" x14ac:dyDescent="0.25">
      <c r="C39" s="2"/>
      <c r="D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9" sqref="F9"/>
    </sheetView>
  </sheetViews>
  <sheetFormatPr defaultRowHeight="15.75" x14ac:dyDescent="0.25"/>
  <cols>
    <col min="5" max="5" width="16.625" bestFit="1" customWidth="1"/>
    <col min="6" max="6" width="9.125" bestFit="1" customWidth="1"/>
    <col min="7" max="7" width="10.375" bestFit="1" customWidth="1"/>
  </cols>
  <sheetData>
    <row r="1" spans="1:7" x14ac:dyDescent="0.2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14</v>
      </c>
      <c r="G1" t="s">
        <v>15</v>
      </c>
    </row>
    <row r="2" spans="1:7" x14ac:dyDescent="0.25">
      <c r="A2">
        <v>1</v>
      </c>
      <c r="B2">
        <f>A2*68</f>
        <v>68</v>
      </c>
      <c r="C2" s="3">
        <f t="shared" ref="C2:C7" si="0">$C$14/B2</f>
        <v>38.823529411764703</v>
      </c>
      <c r="D2">
        <f>ROUNDUP(C2,0)</f>
        <v>39</v>
      </c>
      <c r="E2" s="3">
        <f>D2*$C$17+A2*$C$18</f>
        <v>307.15236253906255</v>
      </c>
      <c r="F2" s="4">
        <f>E2*A2*0.8</f>
        <v>245.72189003125004</v>
      </c>
      <c r="G2" s="4">
        <f t="shared" ref="G2:G10" si="1">F2*$C$24</f>
        <v>786.31004810000013</v>
      </c>
    </row>
    <row r="3" spans="1:7" x14ac:dyDescent="0.25">
      <c r="A3">
        <v>2</v>
      </c>
      <c r="B3">
        <f t="shared" ref="B3:B7" si="2">A3*68</f>
        <v>136</v>
      </c>
      <c r="C3" s="3">
        <f t="shared" si="0"/>
        <v>19.411764705882351</v>
      </c>
      <c r="D3">
        <f t="shared" ref="D3:D7" si="3">ROUNDUP(C3,0)</f>
        <v>20</v>
      </c>
      <c r="E3" s="3">
        <f t="shared" ref="E3:E10" si="4">D3*$C$17+A3*$C$18</f>
        <v>157.58871952256945</v>
      </c>
      <c r="F3" s="4">
        <f t="shared" ref="F3:F7" si="5">E3*A3*0.8</f>
        <v>252.14195123611114</v>
      </c>
      <c r="G3" s="4">
        <f t="shared" si="1"/>
        <v>806.85424395555572</v>
      </c>
    </row>
    <row r="4" spans="1:7" x14ac:dyDescent="0.25">
      <c r="A4">
        <v>3</v>
      </c>
      <c r="B4">
        <f t="shared" si="2"/>
        <v>204</v>
      </c>
      <c r="C4" s="3">
        <f t="shared" si="0"/>
        <v>12.941176470588236</v>
      </c>
      <c r="D4">
        <f t="shared" si="3"/>
        <v>13</v>
      </c>
      <c r="E4" s="3">
        <f t="shared" si="4"/>
        <v>102.51804317274306</v>
      </c>
      <c r="F4" s="4">
        <f t="shared" si="5"/>
        <v>246.04330361458335</v>
      </c>
      <c r="G4" s="4">
        <f t="shared" si="1"/>
        <v>787.33857156666681</v>
      </c>
    </row>
    <row r="5" spans="1:7" x14ac:dyDescent="0.25">
      <c r="A5">
        <v>4</v>
      </c>
      <c r="B5">
        <f t="shared" si="2"/>
        <v>272</v>
      </c>
      <c r="C5" s="3">
        <f t="shared" si="0"/>
        <v>9.7058823529411757</v>
      </c>
      <c r="D5">
        <f t="shared" si="3"/>
        <v>10</v>
      </c>
      <c r="E5" s="3">
        <f t="shared" si="4"/>
        <v>78.945022378472231</v>
      </c>
      <c r="F5" s="4">
        <f t="shared" si="5"/>
        <v>252.62407161111116</v>
      </c>
      <c r="G5" s="4">
        <f t="shared" si="1"/>
        <v>808.39702915555574</v>
      </c>
    </row>
    <row r="6" spans="1:7" x14ac:dyDescent="0.25">
      <c r="A6">
        <v>5</v>
      </c>
      <c r="B6">
        <f t="shared" si="2"/>
        <v>340</v>
      </c>
      <c r="C6" s="3">
        <f t="shared" si="0"/>
        <v>7.7647058823529411</v>
      </c>
      <c r="D6">
        <f t="shared" si="3"/>
        <v>8</v>
      </c>
      <c r="E6" s="3">
        <f t="shared" si="4"/>
        <v>63.246415473090288</v>
      </c>
      <c r="F6" s="4">
        <f t="shared" si="5"/>
        <v>252.98566189236118</v>
      </c>
      <c r="G6" s="4">
        <f t="shared" si="1"/>
        <v>809.55411805555582</v>
      </c>
    </row>
    <row r="7" spans="1:7" x14ac:dyDescent="0.25">
      <c r="A7">
        <v>6</v>
      </c>
      <c r="B7">
        <f t="shared" si="2"/>
        <v>408</v>
      </c>
      <c r="C7" s="3">
        <f t="shared" si="0"/>
        <v>6.4705882352941178</v>
      </c>
      <c r="D7">
        <f t="shared" si="3"/>
        <v>7</v>
      </c>
      <c r="E7" s="3">
        <f t="shared" si="4"/>
        <v>55.422222456597233</v>
      </c>
      <c r="F7" s="4">
        <f t="shared" si="5"/>
        <v>266.02666779166674</v>
      </c>
      <c r="G7" s="4">
        <f t="shared" si="1"/>
        <v>851.28533693333361</v>
      </c>
    </row>
    <row r="8" spans="1:7" x14ac:dyDescent="0.25">
      <c r="A8">
        <v>7</v>
      </c>
      <c r="B8">
        <f t="shared" ref="B8:B10" si="6">A8*68</f>
        <v>476</v>
      </c>
      <c r="C8" s="3">
        <f t="shared" ref="C8:C10" si="7">$C$14/B8</f>
        <v>5.5462184873949578</v>
      </c>
      <c r="D8">
        <f t="shared" ref="D8:D10" si="8">ROUNDUP(C8,0)</f>
        <v>6</v>
      </c>
      <c r="E8" s="3">
        <f t="shared" si="4"/>
        <v>47.598029440104177</v>
      </c>
      <c r="F8" s="4">
        <f t="shared" ref="F8:F10" si="9">E8*A8*0.8</f>
        <v>266.54896486458341</v>
      </c>
      <c r="G8" s="4">
        <f t="shared" si="1"/>
        <v>852.95668756666691</v>
      </c>
    </row>
    <row r="9" spans="1:7" x14ac:dyDescent="0.25">
      <c r="A9">
        <v>8</v>
      </c>
      <c r="B9">
        <f t="shared" si="6"/>
        <v>544</v>
      </c>
      <c r="C9" s="3">
        <f t="shared" si="7"/>
        <v>4.8529411764705879</v>
      </c>
      <c r="D9">
        <f t="shared" si="8"/>
        <v>5</v>
      </c>
      <c r="E9" s="3">
        <f t="shared" si="4"/>
        <v>39.773836423611115</v>
      </c>
      <c r="F9" s="4">
        <f t="shared" si="9"/>
        <v>254.55255311111114</v>
      </c>
      <c r="G9" s="4">
        <f t="shared" si="1"/>
        <v>814.56816995555573</v>
      </c>
    </row>
    <row r="10" spans="1:7" x14ac:dyDescent="0.25">
      <c r="A10">
        <v>9</v>
      </c>
      <c r="B10">
        <f t="shared" si="6"/>
        <v>612</v>
      </c>
      <c r="C10" s="3">
        <f t="shared" si="7"/>
        <v>4.3137254901960782</v>
      </c>
      <c r="D10">
        <f t="shared" si="8"/>
        <v>5</v>
      </c>
      <c r="E10" s="3">
        <f t="shared" si="4"/>
        <v>39.824057296006949</v>
      </c>
      <c r="F10" s="4">
        <f t="shared" si="9"/>
        <v>286.73321253125005</v>
      </c>
      <c r="G10" s="4">
        <f t="shared" si="1"/>
        <v>917.54628010000022</v>
      </c>
    </row>
    <row r="13" spans="1:7" x14ac:dyDescent="0.25">
      <c r="A13" t="s">
        <v>23</v>
      </c>
      <c r="C13">
        <v>15</v>
      </c>
    </row>
    <row r="14" spans="1:7" x14ac:dyDescent="0.25">
      <c r="A14" t="s">
        <v>24</v>
      </c>
      <c r="C14">
        <f>176*C13</f>
        <v>2640</v>
      </c>
      <c r="D14">
        <f>C14/2</f>
        <v>1320</v>
      </c>
    </row>
    <row r="15" spans="1:7" x14ac:dyDescent="0.25">
      <c r="A15" t="s">
        <v>10</v>
      </c>
      <c r="C15">
        <f>tacc!K11/60^2</f>
        <v>0.1574882777777778</v>
      </c>
    </row>
    <row r="16" spans="1:7" x14ac:dyDescent="0.25">
      <c r="A16" t="s">
        <v>11</v>
      </c>
      <c r="C16">
        <v>50</v>
      </c>
    </row>
    <row r="17" spans="1:3" x14ac:dyDescent="0.25">
      <c r="A17" t="s">
        <v>12</v>
      </c>
      <c r="C17">
        <f>C16*C15</f>
        <v>7.8744138888888902</v>
      </c>
    </row>
    <row r="18" spans="1:3" x14ac:dyDescent="0.25">
      <c r="A18" t="s">
        <v>28</v>
      </c>
      <c r="C18" s="3">
        <f>tacc!K12</f>
        <v>5.0220872395833241E-2</v>
      </c>
    </row>
    <row r="22" spans="1:3" x14ac:dyDescent="0.25">
      <c r="A22" t="s">
        <v>16</v>
      </c>
      <c r="C22">
        <f>C16*C13</f>
        <v>750</v>
      </c>
    </row>
    <row r="23" spans="1:3" x14ac:dyDescent="0.25">
      <c r="A23" t="s">
        <v>13</v>
      </c>
      <c r="C23">
        <v>2400</v>
      </c>
    </row>
    <row r="24" spans="1:3" x14ac:dyDescent="0.25">
      <c r="A24" t="s">
        <v>17</v>
      </c>
      <c r="C24">
        <f>C23/C22</f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time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2020-11-03T22:24:10Z</dcterms:created>
  <dcterms:modified xsi:type="dcterms:W3CDTF">2020-12-04T15:58:51Z</dcterms:modified>
</cp:coreProperties>
</file>