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worksheets/sheet19.xml" ContentType="application/vnd.openxmlformats-officedocument.spreadsheetml.worksheet+xml"/>
  <Override PartName="/xl/worksheets/sheet23.xml" ContentType="application/vnd.openxmlformats-officedocument.spreadsheetml.worksheet+xml"/>
  <Override PartName="/xl/worksheets/sheet27.xml" ContentType="application/vnd.openxmlformats-officedocument.spreadsheetml.worksheet+xml"/>
  <Override PartName="/xl/worksheets/sheet4.xml" ContentType="application/vnd.openxmlformats-officedocument.spreadsheetml.worksheet+xml"/>
  <Override PartName="/xl/worksheets/sheet26.xml" ContentType="application/vnd.openxmlformats-officedocument.spreadsheetml.worksheet+xml"/>
  <Override PartName="/xl/sharedStrings.xml" ContentType="application/vnd.openxmlformats-officedocument.spreadsheetml.sharedStrings+xml"/>
  <Override PartName="/xl/worksheets/sheet1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xl/worksheets/sheet1.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worksheets/sheet20.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25.xml" ContentType="application/vnd.openxmlformats-officedocument.spreadsheetml.worksheet+xml"/>
  <Override PartName="/xl/worksheets/sheet1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worksheets/sheet21.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标准化指标设定" sheetId="1" r:id="rId1"/>
    <sheet name="项目技术经济指标" sheetId="2" r:id="rId2"/>
    <sheet name="总投资估算" sheetId="3" r:id="rId3"/>
    <sheet name="其他费自动计算" sheetId="4" r:id="rId4"/>
    <sheet name="分年计划及建设期利息" sheetId="5" r:id="rId5"/>
    <sheet name="信息采集表" sheetId="6" r:id="rId6" state="hidden"/>
    <sheet name="收入成本" sheetId="7" r:id="rId7"/>
    <sheet name="税费计算" sheetId="8" r:id="rId8"/>
    <sheet name="还本付息" sheetId="9" r:id="rId9"/>
    <sheet name="资金平衡表" sheetId="10" r:id="rId10"/>
    <sheet name="资金流入流出平衡表" sheetId="11" r:id="rId11"/>
    <sheet name="Sheet2" sheetId="12" r:id="rId12"/>
    <sheet name="Sheet1" sheetId="13" r:id="rId13"/>
    <sheet name="固定资产折旧" sheetId="14" r:id="rId14"/>
    <sheet name="工程建设其他费细则说明" sheetId="15" r:id="rId15"/>
    <sheet name="节能评估文件编制费" sheetId="16" r:id="rId16" state="hidden"/>
    <sheet name="社会稳定风险评估" sheetId="17" r:id="rId17" state="hidden"/>
    <sheet name="水土保持费" sheetId="18" r:id="rId18" state="hidden"/>
    <sheet name="交通影响评估" sheetId="19" r:id="rId19" state="hidden"/>
    <sheet name="环境影响评估" sheetId="20" r:id="rId20" state="hidden"/>
    <sheet name="前期工程咨询费" sheetId="21" r:id="rId21" state="hidden"/>
    <sheet name="施工图审查费" sheetId="22" r:id="rId22" state="hidden"/>
    <sheet name="招标代理费" sheetId="23" r:id="rId23" state="hidden"/>
    <sheet name="造价咨询" sheetId="24" r:id="rId24" state="hidden"/>
    <sheet name="监理费" sheetId="25" r:id="rId25" state="hidden"/>
    <sheet name="设计费" sheetId="26" r:id="rId26" state="hidden"/>
    <sheet name="建设单位管理费" sheetId="27" r:id="rId27" state="hidden"/>
    <sheet name="场地准备费" sheetId="28" r:id="rId28" state="hidden"/>
    <sheet name="安全预评价" sheetId="29" r:id="rId29" state="hidden"/>
  </sheets>
  <definedNames>
    <definedName name="在此区间">'建设单位管理费'!$L$5</definedName>
    <definedName name="在此区间内">'建设单位管理费'!$L$5</definedName>
  </definedNames>
  <calcPr calcId="0"/>
</workbook>
</file>

<file path=xl/sharedStrings.xml><?xml version="1.0" encoding="utf-8"?>
<sst xmlns="http://schemas.openxmlformats.org/spreadsheetml/2006/main">
  <si>
    <t>本表所有此颜色单元格为基础数据，需自行嵌入。其余单元格均为联动，勿调整。</t>
  </si>
  <si>
    <t>农村污水处理及中水再利用建设项目</t>
  </si>
  <si>
    <t>江西省指标要求和假设参数设计</t>
  </si>
  <si>
    <t>江西省生活用水定额</t>
  </si>
  <si>
    <t>吉水县2021年末人口统计</t>
  </si>
  <si>
    <t>序号</t>
  </si>
  <si>
    <t>指标项</t>
  </si>
  <si>
    <t>江西省用地指标（2018）</t>
  </si>
  <si>
    <t>参数设定</t>
  </si>
  <si>
    <t>单位</t>
  </si>
  <si>
    <t>项目数据</t>
  </si>
  <si>
    <t>备注</t>
  </si>
  <si>
    <t>二级污水处理站用地</t>
  </si>
  <si>
    <t>参考城市污水处理厂建设用地指标</t>
  </si>
  <si>
    <t>公顷</t>
  </si>
  <si>
    <t xml:space="preserve">  1、为应对突发情况污水处理厂、污水管网泵站设计规模应比计算规模适当增大
  2、污水处理厂规模按项目数据中的污水处理量来测算，收入计算时按参数设定中的处理量来计算</t>
  </si>
  <si>
    <t>区域人口</t>
  </si>
  <si>
    <t>根据地区情况确定</t>
  </si>
  <si>
    <t>万人</t>
  </si>
  <si>
    <t>用水定额</t>
  </si>
  <si>
    <t>参考江西省生活用水定额</t>
  </si>
  <si>
    <t>L/（人*天）</t>
  </si>
  <si>
    <t>产污系数</t>
  </si>
  <si>
    <t>0.80-0.9</t>
  </si>
  <si>
    <t>污水收集系数</t>
  </si>
  <si>
    <t>0.7-0.95</t>
  </si>
  <si>
    <t>污水处理量</t>
  </si>
  <si>
    <r>
      <rPr>
        <color rgb="FF000000"/>
        <rFont val="仿宋"/>
        <sz val="11"/>
      </rPr>
      <t xml:space="preserve">m</t>
    </r>
    <r>
      <rPr>
        <color rgb="FF000000"/>
        <rFont val="等线"/>
        <sz val="11"/>
      </rPr>
      <t xml:space="preserve">³</t>
    </r>
    <r>
      <rPr>
        <color rgb="FF000000"/>
        <rFont val="仿宋"/>
        <sz val="11"/>
      </rPr>
      <t xml:space="preserve">/天</t>
    </r>
  </si>
  <si>
    <t>容积率</t>
  </si>
  <si>
    <t>≥0.7</t>
  </si>
  <si>
    <t>污水管网泵站用地</t>
  </si>
  <si>
    <t>参考污水管网泵站建设用地指标</t>
  </si>
  <si>
    <t>㎡</t>
  </si>
  <si>
    <t>污水处理厂规模按项目数据中的污水处理量来测定，收入计算时按参数设定中的处理量来计算</t>
  </si>
  <si>
    <t>建设规模</t>
  </si>
  <si>
    <t>一</t>
  </si>
  <si>
    <t>总建筑面积</t>
  </si>
  <si>
    <t>污水处理厂</t>
  </si>
  <si>
    <t>粗格栅池</t>
  </si>
  <si>
    <t>根据实际需要确定</t>
  </si>
  <si>
    <t>提升池</t>
  </si>
  <si>
    <t>沉砂池</t>
  </si>
  <si>
    <r>
      <rPr>
        <color rgb="FF000000"/>
        <rFont val="仿宋"/>
        <sz val="10.5"/>
      </rPr>
      <t xml:space="preserve">兼氧 </t>
    </r>
    <r>
      <rPr>
        <color rgb="FF000000"/>
        <rFont val="Times New Roman"/>
        <sz val="10.5"/>
      </rPr>
      <t xml:space="preserve">FMBR </t>
    </r>
    <r>
      <rPr>
        <color rgb="FF000000"/>
        <rFont val="仿宋"/>
        <sz val="10.5"/>
      </rPr>
      <t xml:space="preserve">池</t>
    </r>
  </si>
  <si>
    <t>消毒回用池</t>
  </si>
  <si>
    <t>污泥池</t>
  </si>
  <si>
    <t>贮泥池</t>
  </si>
  <si>
    <t>污泥脱水机房</t>
  </si>
  <si>
    <t>管理用房</t>
  </si>
  <si>
    <t>建筑面积比例不超过总建筑面积的15%</t>
  </si>
  <si>
    <t>厂区室外工程</t>
  </si>
  <si>
    <t>不得低于用地面积的30%</t>
  </si>
  <si>
    <t>污水管网泵站</t>
  </si>
  <si>
    <t>污水管网</t>
  </si>
  <si>
    <t>㎞</t>
  </si>
  <si>
    <t>新建污水管道</t>
  </si>
  <si>
    <t>4.1.1</t>
  </si>
  <si>
    <t>HDPE缠绕结构壁管-DN300</t>
  </si>
  <si>
    <t>4.1.2</t>
  </si>
  <si>
    <t>HDPE缠绕结构壁管-DN400</t>
  </si>
  <si>
    <t>4.1.3</t>
  </si>
  <si>
    <t>HDPE缠绕结构壁管-DN500</t>
  </si>
  <si>
    <t>检查井</t>
  </si>
  <si>
    <r>
      <rPr>
        <b/>
        <color rgb="FF000000"/>
        <rFont val="仿宋"/>
        <sz val="9"/>
      </rPr>
      <t xml:space="preserve">检查井之间的距离不宜大于</t>
    </r>
    <r>
      <rPr>
        <color rgb="FF333333"/>
        <rFont val="Arial"/>
        <sz val="10.5"/>
      </rPr>
      <t xml:space="preserve">50m</t>
    </r>
  </si>
  <si>
    <t>个</t>
  </si>
  <si>
    <t>吉水县农村生活污水治理专项规划</t>
  </si>
  <si>
    <t>内容名称</t>
  </si>
  <si>
    <t>数量</t>
  </si>
  <si>
    <t>方案技术指标</t>
  </si>
  <si>
    <t>兼氧 FMBR 池</t>
  </si>
  <si>
    <t>成本</t>
  </si>
  <si>
    <t>工资</t>
  </si>
  <si>
    <t>管理人员</t>
  </si>
  <si>
    <t>职工</t>
  </si>
  <si>
    <t>每五年增长率</t>
  </si>
  <si>
    <t>人数</t>
  </si>
  <si>
    <t>月工资</t>
  </si>
  <si>
    <t>项目总建筑面积为16260平方米，其中新建污水处理厂15468㎡，污水处理规模为1.5万m³/天，含粗格栅池2400㎡、提升池2400㎡、沉砂池2400㎡、兼氧 FMBR 池2000㎡、消毒回用池1600㎡、污泥池1200㎡、贮泥池1200㎡、污泥脱水机房1500㎡、管理用房768㎡；新建污水管网提升泵站792㎡，污水提升规模为0.2m³/秒；新建污水管网50㎞、检查井1250座。
</t>
  </si>
  <si>
    <t>中水管网</t>
  </si>
  <si>
    <t>km</t>
  </si>
  <si>
    <t>5.1.1</t>
  </si>
  <si>
    <t>5.1.2</t>
  </si>
  <si>
    <t>5.1.3</t>
  </si>
  <si>
    <t>二</t>
  </si>
  <si>
    <t>经济技术指标</t>
  </si>
  <si>
    <t>总投资</t>
  </si>
  <si>
    <t>万元</t>
  </si>
  <si>
    <t>工程费用</t>
  </si>
  <si>
    <t>1.1.1</t>
  </si>
  <si>
    <t>建筑安装工程费用</t>
  </si>
  <si>
    <t>1.1.2</t>
  </si>
  <si>
    <t>设备及工器具购置费</t>
  </si>
  <si>
    <t>工程建设其他费用</t>
  </si>
  <si>
    <t>基本预备费</t>
  </si>
  <si>
    <t>建设期利息</t>
  </si>
  <si>
    <t>资金筹措</t>
  </si>
  <si>
    <t>自筹资本金</t>
  </si>
  <si>
    <t>融资及政府债券</t>
  </si>
  <si>
    <t>年均营业收入</t>
  </si>
  <si>
    <t>年均税收</t>
  </si>
  <si>
    <t>运营期总收入</t>
  </si>
  <si>
    <t>运营期总成本</t>
  </si>
  <si>
    <t>项目总收益</t>
  </si>
  <si>
    <t>债券覆盖倍数</t>
  </si>
  <si>
    <t>-</t>
  </si>
  <si>
    <t>正常情况下</t>
  </si>
  <si>
    <t>收入下降10%</t>
  </si>
  <si>
    <t>成本上升10%</t>
  </si>
  <si>
    <t>收入下降10%且成本上升10%</t>
  </si>
  <si>
    <t>工程或费用名称</t>
  </si>
  <si>
    <t>估算金额（万元）</t>
  </si>
  <si>
    <t>技术经济指标</t>
  </si>
  <si>
    <t>建筑工程费</t>
  </si>
  <si>
    <t>安装工程费</t>
  </si>
  <si>
    <t>设备购置费</t>
  </si>
  <si>
    <t>其他费用</t>
  </si>
  <si>
    <t>小计</t>
  </si>
  <si>
    <t>比例</t>
  </si>
  <si>
    <t>单价（元）</t>
  </si>
  <si>
    <t>含装修</t>
  </si>
  <si>
    <t>2600±400</t>
  </si>
  <si>
    <t>2400±200</t>
  </si>
  <si>
    <t>2200±200</t>
  </si>
  <si>
    <t>2000±300</t>
  </si>
  <si>
    <t>2000±200</t>
  </si>
  <si>
    <t>终端水质在线监测系统</t>
  </si>
  <si>
    <t>套</t>
  </si>
  <si>
    <t>1500000±500000</t>
  </si>
  <si>
    <t>中控系统</t>
  </si>
  <si>
    <t>3000000±1000000</t>
  </si>
  <si>
    <t>场内配套基础设施</t>
  </si>
  <si>
    <t>200±100</t>
  </si>
  <si>
    <t>2400±300</t>
  </si>
  <si>
    <t>m</t>
  </si>
  <si>
    <t>400±100</t>
  </si>
  <si>
    <t>500±100</t>
  </si>
  <si>
    <t>600±200</t>
  </si>
  <si>
    <t>2800±400</t>
  </si>
  <si>
    <t>建设单位管理费</t>
  </si>
  <si>
    <t>财建[2016]504号</t>
  </si>
  <si>
    <t>场地准备及临时设施费</t>
  </si>
  <si>
    <t>建标〔2011〕1号</t>
  </si>
  <si>
    <t>前期工作咨询费</t>
  </si>
  <si>
    <t>计价格［1999］1283号</t>
  </si>
  <si>
    <t>勘察费</t>
  </si>
  <si>
    <t>设计费</t>
  </si>
  <si>
    <t>计价格[2002]10号</t>
  </si>
  <si>
    <t>工程监理费</t>
  </si>
  <si>
    <t>发改价格[2007]670号</t>
  </si>
  <si>
    <t>招标代理费</t>
  </si>
  <si>
    <t>发改价格[2011]534号</t>
  </si>
  <si>
    <t>施工图审查费</t>
  </si>
  <si>
    <t>赣价房字[2000]6号</t>
  </si>
  <si>
    <t>工程造价咨询费</t>
  </si>
  <si>
    <t>赣价协[2021]23号</t>
  </si>
  <si>
    <t>工程保险费</t>
  </si>
  <si>
    <t>环境影响评价费</t>
  </si>
  <si>
    <t xml:space="preserve"> 计价格[2002]125 号</t>
  </si>
  <si>
    <t>节能评估费</t>
  </si>
  <si>
    <t>沪发改环资（2012）043号</t>
  </si>
  <si>
    <t>水土保持评价费</t>
  </si>
  <si>
    <t>保监[2005]22 号 2005 年 6 月 17 日</t>
  </si>
  <si>
    <t>劳动安全卫生评审费</t>
  </si>
  <si>
    <t>社会稳定风险评估费</t>
  </si>
  <si>
    <t>赣评审字[2015]70 号</t>
  </si>
  <si>
    <t>安全预评价费</t>
  </si>
  <si>
    <t>江西省安全评价收费指导价格（试行）</t>
  </si>
  <si>
    <t>交通影响评估费</t>
  </si>
  <si>
    <t>5万平米（含）以下，2元/平米，5-20万平米，2元/平米，20-100万平米，1.5元/平米，100-200万平米，1.0元/平米；大于200万平米的，0.8元/平米</t>
  </si>
  <si>
    <t>债券发行费</t>
  </si>
  <si>
    <t>←可直接调整数字，前面文字为单元格格式，不影响计算</t>
  </si>
  <si>
    <t>三</t>
  </si>
  <si>
    <t>预备费</t>
  </si>
  <si>
    <t>不超过（一+二）*8%</t>
  </si>
  <si>
    <t>涨价预备费</t>
  </si>
  <si>
    <t>一+二+三部分合计</t>
  </si>
  <si>
    <t>四</t>
  </si>
  <si>
    <t>4.50%利率，建设期1年，发债2200万元</t>
  </si>
  <si>
    <t>五</t>
  </si>
  <si>
    <t>费用输入（万元）</t>
  </si>
  <si>
    <r>
      <rPr>
        <b/>
        <color rgb="FF000000"/>
        <rFont val="宋体"/>
        <sz val="11"/>
      </rPr>
      <t xml:space="preserve">输入</t>
    </r>
    <r>
      <rPr>
        <b/>
        <color rgb="FF000000"/>
        <rFont val="Segoe UI Symbol"/>
        <sz val="11"/>
      </rPr>
      <t xml:space="preserve">👇</t>
    </r>
  </si>
  <si>
    <r>
      <rPr>
        <color rgb="FF000000"/>
        <rFont val="宋体"/>
        <sz val="11"/>
      </rPr>
      <t xml:space="preserve">☜</t>
    </r>
    <r>
      <rPr>
        <color rgb="FF000000"/>
        <rFont val="等线"/>
        <sz val="11"/>
      </rPr>
      <t xml:space="preserve">手动输入</t>
    </r>
  </si>
  <si>
    <t>地区筛选</t>
  </si>
  <si>
    <t>红谷滩区</t>
  </si>
  <si>
    <t>单位：万元</t>
  </si>
  <si>
    <t>地区折扣目录</t>
  </si>
  <si>
    <t>费用名称</t>
  </si>
  <si>
    <t>估算金额</t>
  </si>
  <si>
    <t>地区折扣</t>
  </si>
  <si>
    <t>折后金额</t>
  </si>
  <si>
    <t>计费基础</t>
  </si>
  <si>
    <t>南昌市</t>
  </si>
  <si>
    <t>南昌县</t>
  </si>
  <si>
    <t>参考文件</t>
  </si>
  <si>
    <t>折扣率</t>
  </si>
  <si>
    <t>分包</t>
  </si>
  <si>
    <t>合计</t>
  </si>
  <si>
    <t>前期工作咨询费（可行性研究报告）</t>
  </si>
  <si>
    <t>计费额</t>
  </si>
  <si>
    <t>基价</t>
  </si>
  <si>
    <r>
      <rPr>
        <b/>
        <color rgb="FF000000"/>
        <rFont val="等线"/>
        <sz val="11"/>
      </rPr>
      <t xml:space="preserve">输入费用</t>
    </r>
    <r>
      <rPr>
        <b/>
        <color rgb="FF000000"/>
        <rFont val="Segoe UI Symbol"/>
        <sz val="11"/>
      </rPr>
      <t xml:space="preserve">👇</t>
    </r>
  </si>
  <si>
    <t>直线内插法计取</t>
  </si>
  <si>
    <t>&gt;</t>
  </si>
  <si>
    <t>~</t>
  </si>
  <si>
    <t>招标代理服务费</t>
  </si>
  <si>
    <t>货物采购</t>
  </si>
  <si>
    <t>服务招标（勘察）</t>
  </si>
  <si>
    <t>服务招标（设计）</t>
  </si>
  <si>
    <t>服务招标（监理）</t>
  </si>
  <si>
    <t>工程招标</t>
  </si>
  <si>
    <t>&lt;</t>
  </si>
  <si>
    <t>总费用</t>
  </si>
  <si>
    <t>费用合计</t>
  </si>
  <si>
    <t>环境影响评估费</t>
  </si>
  <si>
    <t>直线内插法</t>
  </si>
  <si>
    <t>编制报告书
（含大纲）</t>
  </si>
  <si>
    <t>编制报告表</t>
  </si>
  <si>
    <t>投资额</t>
  </si>
  <si>
    <t>基费</t>
  </si>
  <si>
    <t>直线内插法计算</t>
  </si>
  <si>
    <t>风险敏感系数</t>
  </si>
  <si>
    <t>注：不考虑行业调整系数，敏感性系数按规划方案、环评、拆迁征地补偿方案等尚未公示，项目社会稳定风险尚不确定的项目考虑，系数为1.2，收费低于3万元的，按3万元收取；高于20万元的，按20万元收取。</t>
  </si>
  <si>
    <t>安全预评价</t>
  </si>
  <si>
    <t>总投资额
（万元）</t>
  </si>
  <si>
    <t>基础报价
（万元）</t>
  </si>
  <si>
    <t>规模
（建筑总面积：万平方米）</t>
  </si>
  <si>
    <t>单价
（元/平方米）</t>
  </si>
  <si>
    <t>收费基数
（万元）</t>
  </si>
  <si>
    <r>
      <rPr>
        <b/>
        <color rgb="FF000000"/>
        <rFont val="等线"/>
        <sz val="11"/>
      </rPr>
      <t xml:space="preserve">输入建筑面积</t>
    </r>
    <r>
      <rPr>
        <b/>
        <color rgb="FF000000"/>
        <rFont val="Segoe UI Symbol"/>
        <sz val="11"/>
      </rPr>
      <t xml:space="preserve">👇</t>
    </r>
  </si>
  <si>
    <t>差额累进法计算</t>
  </si>
  <si>
    <t>系数</t>
  </si>
  <si>
    <t>总计</t>
  </si>
  <si>
    <t>注：大型会议中心、体育运动中心、居住区、商业中心、学校、大型停车场（库）、区域路网等收费应取 1.5-1.8 系数。</t>
  </si>
  <si>
    <t>收费基价表</t>
  </si>
  <si>
    <r>
      <rPr>
        <b/>
        <color rgb="FF000000"/>
        <rFont val="等线"/>
        <sz val="11"/>
      </rPr>
      <t xml:space="preserve">工程费用</t>
    </r>
    <r>
      <rPr>
        <b/>
        <color rgb="FF000000"/>
        <rFont val="Segoe UI Symbol"/>
        <sz val="11"/>
      </rPr>
      <t xml:space="preserve">👇</t>
    </r>
  </si>
  <si>
    <t>差额定率累进法</t>
  </si>
  <si>
    <t>费率</t>
  </si>
  <si>
    <t>全额</t>
  </si>
  <si>
    <t>收费额</t>
  </si>
  <si>
    <t>收费基价</t>
  </si>
  <si>
    <t>监理费</t>
  </si>
  <si>
    <t>造价咨询费</t>
  </si>
  <si>
    <t>计费区间</t>
  </si>
  <si>
    <t>注：工程费用低于5000万的，按5000万计算水土保持评价费。</t>
  </si>
  <si>
    <t>节能评估文件编制费</t>
  </si>
  <si>
    <t>收费区间</t>
  </si>
  <si>
    <t>注：投资额不足1亿元部分，按1亿元计取；编制费用最高20万元。</t>
  </si>
  <si>
    <t>工期起始</t>
  </si>
  <si>
    <t>月数汇总</t>
  </si>
  <si>
    <t>资金来源</t>
  </si>
  <si>
    <t>金额（万元）</t>
  </si>
  <si>
    <t>占比</t>
  </si>
  <si>
    <t>☜该色块为需手动输入</t>
  </si>
  <si>
    <t>工期结束</t>
  </si>
  <si>
    <t>资本金</t>
  </si>
  <si>
    <t>☜出现该色块的单元格为报错格</t>
  </si>
  <si>
    <t>建设年度</t>
  </si>
  <si>
    <t>建设年度起</t>
  </si>
  <si>
    <t>建设年度止</t>
  </si>
  <si>
    <t>发债金额</t>
  </si>
  <si>
    <t>第一年度</t>
  </si>
  <si>
    <t>第二年度</t>
  </si>
  <si>
    <t>第三年度</t>
  </si>
  <si>
    <t>表1-分年资金使用</t>
  </si>
  <si>
    <t>项目</t>
  </si>
  <si>
    <t>建设期</t>
  </si>
  <si>
    <t>检查列</t>
  </si>
  <si>
    <t>进度安排</t>
  </si>
  <si>
    <t>建设进度</t>
  </si>
  <si>
    <t>其他费投入进度</t>
  </si>
  <si>
    <t>专项债投入进度</t>
  </si>
  <si>
    <t>建设投资</t>
  </si>
  <si>
    <t>工程建设其他费</t>
  </si>
  <si>
    <t>项目资本金</t>
  </si>
  <si>
    <t>专项债券</t>
  </si>
  <si>
    <t>填表注释：公式请勿修改</t>
  </si>
  <si>
    <t>黄色单元格需要填写</t>
  </si>
  <si>
    <t>此为测算结果</t>
  </si>
  <si>
    <t>1、项目建设期运营期相关</t>
  </si>
  <si>
    <t>项目实际情况：</t>
  </si>
  <si>
    <t>①截止到填表日，本项目是否开工</t>
  </si>
  <si>
    <t>否</t>
  </si>
  <si>
    <t>②本项目建设期</t>
  </si>
  <si>
    <t>个月。</t>
  </si>
  <si>
    <t>③本项目建设期开工日期</t>
  </si>
  <si>
    <r>
      <rPr>
        <color rgb="FF000000"/>
        <rFont val="宋体"/>
        <sz val="10"/>
      </rPr>
      <t xml:space="preserve">如：</t>
    </r>
    <r>
      <rPr>
        <color rgb="FF000000"/>
        <rFont val="Times New Roman"/>
        <sz val="10"/>
      </rPr>
      <t xml:space="preserve">202X</t>
    </r>
    <r>
      <rPr>
        <color rgb="FF000000"/>
        <rFont val="宋体"/>
        <sz val="10"/>
      </rPr>
      <t xml:space="preserve">年</t>
    </r>
    <r>
      <rPr>
        <color rgb="FF000000"/>
        <rFont val="Times New Roman"/>
        <sz val="10"/>
      </rPr>
      <t xml:space="preserve">X</t>
    </r>
    <r>
      <rPr>
        <color rgb="FF000000"/>
        <rFont val="宋体"/>
        <sz val="10"/>
      </rPr>
      <t xml:space="preserve">月</t>
    </r>
    <r>
      <rPr>
        <color rgb="FF000000"/>
        <rFont val="Times New Roman"/>
        <sz val="10"/>
      </rPr>
      <t xml:space="preserve">1</t>
    </r>
    <r>
      <rPr>
        <color rgb="FF000000"/>
        <rFont val="宋体"/>
        <sz val="10"/>
      </rPr>
      <t xml:space="preserve">日</t>
    </r>
  </si>
  <si>
    <t>④本项目建设期完工日期</t>
  </si>
  <si>
    <t>（④-③）/30-②</t>
  </si>
  <si>
    <r>
      <rPr>
        <color rgb="FF000000"/>
        <rFont val="宋体"/>
        <sz val="10"/>
      </rPr>
      <t xml:space="preserve">注意与</t>
    </r>
    <r>
      <rPr>
        <color rgb="FF000000"/>
        <rFont val="Times New Roman"/>
        <sz val="10"/>
      </rPr>
      <t xml:space="preserve">B5</t>
    </r>
    <r>
      <rPr>
        <color rgb="FF000000"/>
        <rFont val="宋体"/>
        <sz val="10"/>
      </rPr>
      <t xml:space="preserve">单元格的勾稽关系</t>
    </r>
  </si>
  <si>
    <t>项目可研报告中数据情况：</t>
  </si>
  <si>
    <t>⑤本项目建设期</t>
  </si>
  <si>
    <r>
      <rPr>
        <color rgb="FF000000"/>
        <rFont val="宋体"/>
        <sz val="10"/>
      </rPr>
      <t xml:space="preserve">⑤</t>
    </r>
    <r>
      <rPr>
        <color rgb="FF000000"/>
        <rFont val="Times New Roman"/>
        <sz val="10"/>
      </rPr>
      <t xml:space="preserve">-</t>
    </r>
    <r>
      <rPr>
        <color rgb="FF000000"/>
        <rFont val="宋体"/>
        <sz val="10"/>
      </rPr>
      <t xml:space="preserve">②</t>
    </r>
  </si>
  <si>
    <t>⑥本项目建设期开工日期</t>
  </si>
  <si>
    <t>⑥-③</t>
  </si>
  <si>
    <r>
      <rPr>
        <color rgb="FF000000"/>
        <rFont val="宋体"/>
        <sz val="10"/>
      </rPr>
      <t xml:space="preserve">如与项目实际情况存在较大差异。</t>
    </r>
    <r>
      <rPr>
        <color rgb="FF000000"/>
        <rFont val="Times New Roman"/>
        <sz val="10"/>
      </rPr>
      <t xml:space="preserve">1</t>
    </r>
    <r>
      <rPr>
        <color rgb="FF000000"/>
        <rFont val="宋体"/>
        <sz val="10"/>
      </rPr>
      <t xml:space="preserve">、笔误等情况酌情修改可研；</t>
    </r>
    <r>
      <rPr>
        <color rgb="FF000000"/>
        <rFont val="Times New Roman"/>
        <sz val="10"/>
      </rPr>
      <t xml:space="preserve">2</t>
    </r>
    <r>
      <rPr>
        <color rgb="FF000000"/>
        <rFont val="宋体"/>
        <sz val="10"/>
      </rPr>
      <t xml:space="preserve">、编制错误或是以前年度编制可研造成，考虑是否影响可研数据的准确性（以前年度编制的可研，依据的参考数据都是以前年度的，是否与现在情况存在偏差，是否合理）；</t>
    </r>
  </si>
  <si>
    <t>⑦本项目建设期完工日期</t>
  </si>
  <si>
    <t>⑦-④</t>
  </si>
  <si>
    <t>⑧建设工程费用</t>
  </si>
  <si>
    <r>
      <rPr>
        <color rgb="FF000000"/>
        <rFont val="宋体"/>
        <sz val="10"/>
      </rPr>
      <t xml:space="preserve">⑧-</t>
    </r>
    <r>
      <rPr>
        <color rgb="FF000000"/>
        <rFont val="MS Gothic"/>
        <sz val="10"/>
      </rPr>
      <t xml:space="preserve">⑭</t>
    </r>
  </si>
  <si>
    <t>此处进行测算，存在差异，则需找具体原因</t>
  </si>
  <si>
    <t>⑨工程建设其他费用</t>
  </si>
  <si>
    <r>
      <rPr>
        <color rgb="FF000000"/>
        <rFont val="宋体"/>
        <sz val="10"/>
      </rPr>
      <t xml:space="preserve">⑨-</t>
    </r>
    <r>
      <rPr>
        <color rgb="FF000000"/>
        <rFont val="MS Gothic"/>
        <sz val="10"/>
      </rPr>
      <t xml:space="preserve">⑮</t>
    </r>
  </si>
  <si>
    <t>⑩预备费</t>
  </si>
  <si>
    <r>
      <rPr>
        <color rgb="FF000000"/>
        <rFont val="宋体"/>
        <sz val="10"/>
      </rPr>
      <t xml:space="preserve">⑩-</t>
    </r>
    <r>
      <rPr>
        <color rgb="FF000000"/>
        <rFont val="MS Gothic"/>
        <sz val="10"/>
      </rPr>
      <t xml:space="preserve">⑯</t>
    </r>
  </si>
  <si>
    <r>
      <rPr>
        <color rgb="FF000000"/>
        <rFont val="MS Gothic"/>
        <sz val="10"/>
      </rPr>
      <t xml:space="preserve">⑪</t>
    </r>
    <r>
      <rPr>
        <color rgb="FF000000"/>
        <rFont val="宋体"/>
        <sz val="10"/>
      </rPr>
      <t xml:space="preserve">建设期利息</t>
    </r>
  </si>
  <si>
    <t>⑪-⑰</t>
  </si>
  <si>
    <t>合计差异</t>
  </si>
  <si>
    <t>2、投资构成及分年度计划（万元）</t>
  </si>
  <si>
    <t>可研批复文号</t>
  </si>
  <si>
    <r>
      <rPr>
        <color rgb="FF000000"/>
        <rFont val="MS Gothic"/>
        <sz val="10"/>
      </rPr>
      <t xml:space="preserve">⑫</t>
    </r>
    <r>
      <rPr>
        <color rgb="FF000000"/>
        <rFont val="宋体"/>
        <sz val="10"/>
      </rPr>
      <t xml:space="preserve">可研批复金额</t>
    </r>
  </si>
  <si>
    <r>
      <rPr>
        <color rgb="FF000000"/>
        <rFont val="MS Gothic"/>
        <sz val="10"/>
      </rPr>
      <t xml:space="preserve">⑫</t>
    </r>
    <r>
      <rPr>
        <color rgb="FF000000"/>
        <rFont val="宋体"/>
        <sz val="10"/>
      </rPr>
      <t xml:space="preserve">-</t>
    </r>
    <r>
      <rPr>
        <color rgb="FF000000"/>
        <rFont val="MS Gothic"/>
        <sz val="10"/>
      </rPr>
      <t xml:space="preserve">⑬</t>
    </r>
  </si>
  <si>
    <r>
      <rPr>
        <color rgb="FF000000"/>
        <rFont val="MS Gothic"/>
        <sz val="10"/>
      </rPr>
      <t xml:space="preserve">⑬</t>
    </r>
    <r>
      <rPr>
        <color rgb="FF000000"/>
        <rFont val="宋体"/>
        <sz val="10"/>
      </rPr>
      <t xml:space="preserve">可研总投资金额</t>
    </r>
  </si>
  <si>
    <r>
      <rPr>
        <color rgb="FF000000"/>
        <rFont val="MS Gothic"/>
        <sz val="10"/>
      </rPr>
      <t xml:space="preserve">⑬</t>
    </r>
    <r>
      <rPr>
        <color rgb="FF000000"/>
        <rFont val="宋体"/>
        <sz val="10"/>
      </rPr>
      <t xml:space="preserve">-（</t>
    </r>
    <r>
      <rPr>
        <color rgb="FF000000"/>
        <rFont val="MS Gothic"/>
        <sz val="10"/>
      </rPr>
      <t xml:space="preserve">⑭</t>
    </r>
    <r>
      <rPr>
        <color rgb="FF000000"/>
        <rFont val="宋体"/>
        <sz val="10"/>
      </rPr>
      <t xml:space="preserve">+</t>
    </r>
    <r>
      <rPr>
        <color rgb="FF000000"/>
        <rFont val="MS Gothic"/>
        <sz val="10"/>
      </rPr>
      <t xml:space="preserve">⑮</t>
    </r>
    <r>
      <rPr>
        <color rgb="FF000000"/>
        <rFont val="宋体"/>
        <sz val="10"/>
      </rPr>
      <t xml:space="preserve">+</t>
    </r>
    <r>
      <rPr>
        <color rgb="FF000000"/>
        <rFont val="MS Gothic"/>
        <sz val="10"/>
      </rPr>
      <t xml:space="preserve">⑯</t>
    </r>
    <r>
      <rPr>
        <color rgb="FF000000"/>
        <rFont val="宋体"/>
        <sz val="10"/>
      </rPr>
      <t xml:space="preserve">+</t>
    </r>
    <r>
      <rPr>
        <color rgb="FF000000"/>
        <rFont val="MS Gothic"/>
        <sz val="10"/>
      </rPr>
      <t xml:space="preserve">⑰）</t>
    </r>
  </si>
  <si>
    <t>具体每年项目投资情况</t>
  </si>
  <si>
    <t>以前年度</t>
  </si>
  <si>
    <r>
      <rPr>
        <color rgb="FF000000"/>
        <rFont val="Times New Roman"/>
        <sz val="10"/>
      </rPr>
      <t xml:space="preserve">2022</t>
    </r>
    <r>
      <rPr>
        <color rgb="FF000000"/>
        <rFont val="宋体"/>
        <sz val="10"/>
      </rPr>
      <t xml:space="preserve">年</t>
    </r>
  </si>
  <si>
    <r>
      <rPr>
        <color rgb="FF000000"/>
        <rFont val="Times New Roman"/>
        <sz val="10"/>
      </rPr>
      <t xml:space="preserve">2023</t>
    </r>
    <r>
      <rPr>
        <color rgb="FF000000"/>
        <rFont val="宋体"/>
        <sz val="10"/>
      </rPr>
      <t xml:space="preserve">年</t>
    </r>
  </si>
  <si>
    <r>
      <rPr>
        <color rgb="FF000000"/>
        <rFont val="Times New Roman"/>
        <sz val="10"/>
      </rPr>
      <t xml:space="preserve">2024</t>
    </r>
    <r>
      <rPr>
        <color rgb="FF000000"/>
        <rFont val="宋体"/>
        <sz val="10"/>
      </rPr>
      <t xml:space="preserve">年</t>
    </r>
  </si>
  <si>
    <r>
      <rPr>
        <color rgb="FF000000"/>
        <rFont val="Times New Roman"/>
        <sz val="10"/>
      </rPr>
      <t xml:space="preserve">2025</t>
    </r>
    <r>
      <rPr>
        <color rgb="FF000000"/>
        <rFont val="宋体"/>
        <sz val="10"/>
      </rPr>
      <t xml:space="preserve">年</t>
    </r>
  </si>
  <si>
    <r>
      <rPr>
        <color rgb="FF000000"/>
        <rFont val="Times New Roman"/>
        <sz val="10"/>
      </rPr>
      <t xml:space="preserve">2026</t>
    </r>
    <r>
      <rPr>
        <color rgb="FF000000"/>
        <rFont val="宋体"/>
        <sz val="10"/>
      </rPr>
      <t xml:space="preserve">年</t>
    </r>
  </si>
  <si>
    <r>
      <rPr>
        <color rgb="FF000000"/>
        <rFont val="Times New Roman"/>
        <sz val="10"/>
      </rPr>
      <t xml:space="preserve">2027</t>
    </r>
    <r>
      <rPr>
        <color rgb="FF000000"/>
        <rFont val="宋体"/>
        <sz val="10"/>
      </rPr>
      <t xml:space="preserve">年</t>
    </r>
  </si>
  <si>
    <r>
      <rPr>
        <color rgb="FF000000"/>
        <rFont val="MS Gothic"/>
        <sz val="10"/>
      </rPr>
      <t xml:space="preserve">⑭</t>
    </r>
    <r>
      <rPr>
        <color rgb="FF000000"/>
        <rFont val="宋体"/>
        <sz val="10"/>
      </rPr>
      <t xml:space="preserve">建设工程费用</t>
    </r>
  </si>
  <si>
    <r>
      <rPr>
        <color rgb="FF000000"/>
        <rFont val="MS Gothic"/>
        <sz val="10"/>
      </rPr>
      <t xml:space="preserve">⑮</t>
    </r>
    <r>
      <rPr>
        <color rgb="FF000000"/>
        <rFont val="宋体"/>
        <sz val="10"/>
      </rPr>
      <t xml:space="preserve">工程建设其他费用</t>
    </r>
  </si>
  <si>
    <r>
      <rPr>
        <color rgb="FF000000"/>
        <rFont val="MS Gothic"/>
        <sz val="10"/>
      </rPr>
      <t xml:space="preserve">⑯</t>
    </r>
    <r>
      <rPr>
        <color rgb="FF000000"/>
        <rFont val="宋体"/>
        <sz val="10"/>
      </rPr>
      <t xml:space="preserve">预备费</t>
    </r>
  </si>
  <si>
    <r>
      <rPr>
        <color rgb="FF000000"/>
        <rFont val="MS Gothic"/>
        <sz val="10"/>
      </rPr>
      <t xml:space="preserve">⑰</t>
    </r>
    <r>
      <rPr>
        <color rgb="FF000000"/>
        <rFont val="宋体"/>
        <sz val="10"/>
      </rPr>
      <t xml:space="preserve">建设期利息</t>
    </r>
  </si>
  <si>
    <t>此处数据请与建设期所填数据核对，是否勾稽，不要存在无建设期，但存在项目投资的情况</t>
  </si>
  <si>
    <t>注：若项目已开工，以前年度的支出按实际支出金额填写；若项目截止目前还未开工，按未来计划支出金额分年度填写</t>
  </si>
  <si>
    <t>3、项目建设期运营期相关（万元）</t>
  </si>
  <si>
    <r>
      <rPr>
        <color rgb="FF000000"/>
        <rFont val="宋体"/>
        <sz val="10"/>
      </rPr>
      <t xml:space="preserve">（</t>
    </r>
    <r>
      <rPr>
        <color rgb="FF000000"/>
        <rFont val="MS Gothic"/>
        <sz val="10"/>
      </rPr>
      <t xml:space="preserve">⑭</t>
    </r>
    <r>
      <rPr>
        <color rgb="FF000000"/>
        <rFont val="宋体"/>
        <sz val="10"/>
      </rPr>
      <t xml:space="preserve">+</t>
    </r>
    <r>
      <rPr>
        <color rgb="FF000000"/>
        <rFont val="MS Gothic"/>
        <sz val="10"/>
      </rPr>
      <t xml:space="preserve">⑮</t>
    </r>
    <r>
      <rPr>
        <color rgb="FF000000"/>
        <rFont val="宋体"/>
        <sz val="10"/>
      </rPr>
      <t xml:space="preserve">+</t>
    </r>
    <r>
      <rPr>
        <color rgb="FF000000"/>
        <rFont val="MS Gothic"/>
        <sz val="10"/>
      </rPr>
      <t xml:space="preserve">⑯</t>
    </r>
    <r>
      <rPr>
        <color rgb="FF000000"/>
        <rFont val="宋体"/>
        <sz val="10"/>
      </rPr>
      <t xml:space="preserve">+</t>
    </r>
    <r>
      <rPr>
        <color rgb="FF000000"/>
        <rFont val="MS Gothic"/>
        <sz val="10"/>
      </rPr>
      <t xml:space="preserve">⑰</t>
    </r>
    <r>
      <rPr>
        <color rgb="FF000000"/>
        <rFont val="宋体"/>
        <sz val="10"/>
      </rPr>
      <t xml:space="preserve">）-（</t>
    </r>
    <r>
      <rPr>
        <color rgb="FF000000"/>
        <rFont val="MS Gothic"/>
        <sz val="10"/>
      </rPr>
      <t xml:space="preserve">⑱</t>
    </r>
    <r>
      <rPr>
        <color rgb="FF000000"/>
        <rFont val="宋体"/>
        <sz val="10"/>
      </rPr>
      <t xml:space="preserve">+</t>
    </r>
    <r>
      <rPr>
        <color rgb="FF000000"/>
        <rFont val="MS Gothic"/>
        <sz val="10"/>
      </rPr>
      <t xml:space="preserve">⑲</t>
    </r>
    <r>
      <rPr>
        <color rgb="FF000000"/>
        <rFont val="宋体"/>
        <sz val="10"/>
      </rPr>
      <t xml:space="preserve">+</t>
    </r>
    <r>
      <rPr>
        <color rgb="FF000000"/>
        <rFont val="MS Gothic"/>
        <sz val="10"/>
      </rPr>
      <t xml:space="preserve">⑳）</t>
    </r>
  </si>
  <si>
    <r>
      <rPr>
        <color rgb="FF000000"/>
        <rFont val="MS PMincho"/>
        <sz val="10"/>
      </rPr>
      <t xml:space="preserve">⑱</t>
    </r>
    <r>
      <rPr>
        <color rgb="FF000000"/>
        <rFont val="Times New Roman"/>
        <sz val="10"/>
      </rPr>
      <t xml:space="preserve">/</t>
    </r>
    <r>
      <rPr>
        <color rgb="FF000000"/>
        <rFont val="宋体"/>
        <sz val="10"/>
      </rPr>
      <t xml:space="preserve">（</t>
    </r>
    <r>
      <rPr>
        <color rgb="FF000000"/>
        <rFont val="MS PMincho"/>
        <sz val="10"/>
      </rPr>
      <t xml:space="preserve">⑱</t>
    </r>
    <r>
      <rPr>
        <color rgb="FF000000"/>
        <rFont val="Times New Roman"/>
        <sz val="10"/>
      </rPr>
      <t xml:space="preserve">+</t>
    </r>
    <r>
      <rPr>
        <color rgb="FF000000"/>
        <rFont val="MS PMincho"/>
        <sz val="10"/>
      </rPr>
      <t xml:space="preserve">⑲</t>
    </r>
    <r>
      <rPr>
        <color rgb="FF000000"/>
        <rFont val="Times New Roman"/>
        <sz val="10"/>
      </rPr>
      <t xml:space="preserve">+</t>
    </r>
    <r>
      <rPr>
        <color rgb="FF000000"/>
        <rFont val="MS PMincho"/>
        <sz val="10"/>
      </rPr>
      <t xml:space="preserve">⑳</t>
    </r>
    <r>
      <rPr>
        <color rgb="FF000000"/>
        <rFont val="宋体"/>
        <sz val="10"/>
      </rPr>
      <t xml:space="preserve">）</t>
    </r>
  </si>
  <si>
    <r>
      <rPr>
        <color rgb="FF000000"/>
        <rFont val="宋体"/>
        <sz val="10"/>
      </rPr>
      <t xml:space="preserve">此处不能小于</t>
    </r>
    <r>
      <rPr>
        <color rgb="FF000000"/>
        <rFont val="Times New Roman"/>
        <sz val="10"/>
      </rPr>
      <t xml:space="preserve">20%</t>
    </r>
    <r>
      <rPr>
        <color rgb="FF000000"/>
        <rFont val="宋体"/>
        <sz val="10"/>
      </rPr>
      <t xml:space="preserve">，资本金必须大于等于占比</t>
    </r>
    <r>
      <rPr>
        <color rgb="FF000000"/>
        <rFont val="Times New Roman"/>
        <sz val="10"/>
      </rPr>
      <t xml:space="preserve">20%</t>
    </r>
  </si>
  <si>
    <t>项目筹资情况</t>
  </si>
  <si>
    <r>
      <rPr>
        <color rgb="FF000000"/>
        <rFont val="MS Gothic"/>
        <sz val="10"/>
      </rPr>
      <t xml:space="preserve">⑱</t>
    </r>
    <r>
      <rPr>
        <color rgb="FF000000"/>
        <rFont val="宋体"/>
        <sz val="10"/>
      </rPr>
      <t xml:space="preserve">资本金</t>
    </r>
  </si>
  <si>
    <r>
      <rPr>
        <color rgb="FF000000"/>
        <rFont val="MS Gothic"/>
        <sz val="10"/>
      </rPr>
      <t xml:space="preserve">⑲</t>
    </r>
    <r>
      <rPr>
        <color rgb="FF000000"/>
        <rFont val="宋体"/>
        <sz val="10"/>
      </rPr>
      <t xml:space="preserve">其他融资</t>
    </r>
  </si>
  <si>
    <t>如果该列填数，则前面的资料，一定要囊括这部分的资料</t>
  </si>
  <si>
    <r>
      <rPr>
        <color rgb="FF000000"/>
        <rFont val="MS Gothic"/>
        <sz val="10"/>
      </rPr>
      <t xml:space="preserve">⑳</t>
    </r>
    <r>
      <rPr>
        <color rgb="FF000000"/>
        <rFont val="宋体"/>
        <sz val="10"/>
      </rPr>
      <t xml:space="preserve">债券发行</t>
    </r>
  </si>
  <si>
    <t>注：此列允许存在差异：如果是负数，则填列无误；如果是正数，则需修改发行债券分年计划，因此当年发债金额不允许大于当年投资金额</t>
  </si>
  <si>
    <t>周期</t>
  </si>
  <si>
    <t>年度</t>
  </si>
  <si>
    <t>污水处理收入</t>
  </si>
  <si>
    <t>中水收入</t>
  </si>
  <si>
    <t>污泥处理费</t>
  </si>
  <si>
    <t>经营收
入合计</t>
  </si>
  <si>
    <t>修理费占比折旧（自行键入）</t>
  </si>
  <si>
    <t>金额单位：人民币万元</t>
  </si>
  <si>
    <t>负荷率</t>
  </si>
  <si>
    <t>单价（元/t）</t>
  </si>
  <si>
    <t>政府补贴（元/t）</t>
  </si>
  <si>
    <t>收费数量（t/d)</t>
  </si>
  <si>
    <t>年运营收入（万元）</t>
  </si>
  <si>
    <t>外购原材料费</t>
  </si>
  <si>
    <t>外购燃料动力</t>
  </si>
  <si>
    <t>工资福利费用</t>
  </si>
  <si>
    <t>年维修成本</t>
  </si>
  <si>
    <t>税费</t>
  </si>
  <si>
    <t>经营成本合计</t>
  </si>
  <si>
    <t>业务成本流出</t>
  </si>
  <si>
    <t>运营期</t>
  </si>
  <si>
    <t>参考同类型项目</t>
  </si>
  <si>
    <t>原材料</t>
  </si>
  <si>
    <t>消耗量（吨）</t>
  </si>
  <si>
    <t>单价/吨</t>
  </si>
  <si>
    <t>总价（万元）</t>
  </si>
  <si>
    <t>污水处理量（吨）</t>
  </si>
  <si>
    <t>每万吨污水
淤泥产生量（吨）</t>
  </si>
  <si>
    <t>年淤泥量（吨）</t>
  </si>
  <si>
    <t>处理单价（元/吨）</t>
  </si>
  <si>
    <t>淤泥处理费</t>
  </si>
  <si>
    <r>
      <rPr>
        <color rgb="FF000000"/>
        <rFont val="仿宋"/>
        <sz val="14.05"/>
      </rPr>
      <t xml:space="preserve">药剂 </t>
    </r>
    <r>
      <rPr>
        <color rgb="FF000000"/>
        <rFont val="Times New Roman"/>
        <sz val="14.05"/>
      </rPr>
      <t xml:space="preserve">PAC</t>
    </r>
  </si>
  <si>
    <r>
      <rPr>
        <color rgb="FF000000"/>
        <rFont val="仿宋"/>
        <sz val="14.05"/>
      </rPr>
      <t xml:space="preserve">药剂 </t>
    </r>
    <r>
      <rPr>
        <color rgb="FF000000"/>
        <rFont val="Times New Roman"/>
        <sz val="14.05"/>
      </rPr>
      <t xml:space="preserve">PAM</t>
    </r>
  </si>
  <si>
    <t>NaCl</t>
  </si>
  <si>
    <t>电耗（kW·h/m³）</t>
  </si>
  <si>
    <t>天数</t>
  </si>
  <si>
    <t>电价</t>
  </si>
  <si>
    <t>年耗电费用</t>
  </si>
  <si>
    <t>乙酸钠</t>
  </si>
  <si>
    <t>吉水县移民安置区排水防涝蓄水功能建设项目</t>
  </si>
  <si>
    <t>年份</t>
  </si>
  <si>
    <t>增值税</t>
  </si>
  <si>
    <t>城市建设
维护税</t>
  </si>
  <si>
    <t>教育费
附加</t>
  </si>
  <si>
    <t>地方教育费附加</t>
  </si>
  <si>
    <t>房产税</t>
  </si>
  <si>
    <t>税费合计</t>
  </si>
  <si>
    <t>工程施工进项税计算表</t>
  </si>
  <si>
    <t>销项税</t>
  </si>
  <si>
    <t>进项税</t>
  </si>
  <si>
    <t>进销项
抵扣后
合计</t>
  </si>
  <si>
    <t>含税金额</t>
  </si>
  <si>
    <t>税率</t>
  </si>
  <si>
    <t>不含税金额（用于折旧）</t>
  </si>
  <si>
    <t>销项税
合计</t>
  </si>
  <si>
    <t>维修</t>
  </si>
  <si>
    <t>进项税
合计</t>
  </si>
  <si>
    <t>工程施工留抵进项余额</t>
  </si>
  <si>
    <t>建筑安装工程费</t>
  </si>
  <si>
    <t>初始值</t>
  </si>
  <si>
    <t>期初本金余额</t>
  </si>
  <si>
    <t>本年发放</t>
  </si>
  <si>
    <t>本期偿还本金</t>
  </si>
  <si>
    <t>期末本金余额</t>
  </si>
  <si>
    <t>融资利率</t>
  </si>
  <si>
    <t>应付利息</t>
  </si>
  <si>
    <t>本息合计</t>
  </si>
  <si>
    <t>借贷本息支付</t>
  </si>
  <si>
    <t>经营收入</t>
  </si>
  <si>
    <t>总费用成本</t>
  </si>
  <si>
    <t>收益余额</t>
  </si>
  <si>
    <t>本金</t>
  </si>
  <si>
    <t>利息</t>
  </si>
  <si>
    <t>下降10%</t>
  </si>
  <si>
    <t>上升10%</t>
  </si>
  <si>
    <t>本息覆盖率</t>
  </si>
  <si>
    <t>☝输入发债额试算</t>
  </si>
  <si>
    <t>项目资金流入流出平衡</t>
  </si>
  <si>
    <t>第1年</t>
  </si>
  <si>
    <t>第2年</t>
  </si>
  <si>
    <t>第3年</t>
  </si>
  <si>
    <t>第4年</t>
  </si>
  <si>
    <t>第5年</t>
  </si>
  <si>
    <t>第6年</t>
  </si>
  <si>
    <t>第7年</t>
  </si>
  <si>
    <t>第8年</t>
  </si>
  <si>
    <t>第9年</t>
  </si>
  <si>
    <t>第10年</t>
  </si>
  <si>
    <t>第11年</t>
  </si>
  <si>
    <t>第12年</t>
  </si>
  <si>
    <t>第13年</t>
  </si>
  <si>
    <t>第14年</t>
  </si>
  <si>
    <t>第15年</t>
  </si>
  <si>
    <t>第16年</t>
  </si>
  <si>
    <t>第17年</t>
  </si>
  <si>
    <t>第18年</t>
  </si>
  <si>
    <t>第19年</t>
  </si>
  <si>
    <t>第20年</t>
  </si>
  <si>
    <t>第21年</t>
  </si>
  <si>
    <t>第22年</t>
  </si>
  <si>
    <t>第23年</t>
  </si>
  <si>
    <t>第24年</t>
  </si>
  <si>
    <t>第25年</t>
  </si>
  <si>
    <t>第26年</t>
  </si>
  <si>
    <t>第27年</t>
  </si>
  <si>
    <t>第28年</t>
  </si>
  <si>
    <t>第29年</t>
  </si>
  <si>
    <t>第30年</t>
  </si>
  <si>
    <t>第31年</t>
  </si>
  <si>
    <t>第32年</t>
  </si>
  <si>
    <t>第33年</t>
  </si>
  <si>
    <t>一、项目现金流入</t>
  </si>
  <si>
    <t>1.业务活动现金流入</t>
  </si>
  <si>
    <t>其中：污水处理收入收入</t>
  </si>
  <si>
    <t>中水收入收入</t>
  </si>
  <si>
    <t>2.融资活动现金流入</t>
  </si>
  <si>
    <t>其中：专项债券资金</t>
  </si>
  <si>
    <t>资本金投入</t>
  </si>
  <si>
    <t>二、项目现金流出</t>
  </si>
  <si>
    <t>1.业务活动现金流出</t>
  </si>
  <si>
    <t>其中：项目建设流出</t>
  </si>
  <si>
    <t>相关税费流出</t>
  </si>
  <si>
    <t>2.融资活动现金流出</t>
  </si>
  <si>
    <t>其中：债券发行费用</t>
  </si>
  <si>
    <t>偿还债券本金</t>
  </si>
  <si>
    <t>支付债券利息</t>
  </si>
  <si>
    <t>项目期初现金余额</t>
  </si>
  <si>
    <t>项目期内现金变动</t>
  </si>
  <si>
    <t>项目期末现金余额</t>
  </si>
  <si>
    <r>
      <rPr>
        <b/>
        <color rgb="FF000000"/>
        <rFont val="宋体"/>
        <sz val="9"/>
      </rPr>
      <t xml:space="preserve">项</t>
    </r>
    <r>
      <rPr>
        <b/>
        <color rgb="FF000000"/>
        <rFont val="Times New Roman"/>
        <sz val="9"/>
      </rPr>
      <t xml:space="preserve">  </t>
    </r>
    <r>
      <rPr>
        <b/>
        <color rgb="FF000000"/>
        <rFont val="宋体"/>
        <sz val="9"/>
      </rPr>
      <t xml:space="preserve">目</t>
    </r>
  </si>
  <si>
    <t>折旧年限</t>
  </si>
  <si>
    <r>
      <rPr>
        <b/>
        <color rgb="FF000000"/>
        <rFont val="宋体"/>
        <sz val="9"/>
      </rPr>
      <t xml:space="preserve">合</t>
    </r>
    <r>
      <rPr>
        <b/>
        <color rgb="FF000000"/>
        <rFont val="Times New Roman"/>
        <sz val="9"/>
      </rPr>
      <t xml:space="preserve">  </t>
    </r>
    <r>
      <rPr>
        <b/>
        <color rgb="FF000000"/>
        <rFont val="宋体"/>
        <sz val="9"/>
      </rPr>
      <t xml:space="preserve">计</t>
    </r>
  </si>
  <si>
    <r>
      <rPr>
        <b/>
        <color rgb="FF000000"/>
        <rFont val="宋体"/>
        <sz val="9"/>
      </rPr>
      <t xml:space="preserve">计</t>
    </r>
    <r>
      <rPr>
        <b/>
        <color rgb="FF000000"/>
        <rFont val="Times New Roman"/>
        <sz val="9"/>
      </rPr>
      <t xml:space="preserve">       </t>
    </r>
    <r>
      <rPr>
        <b/>
        <color rgb="FF000000"/>
        <rFont val="宋体"/>
        <sz val="9"/>
      </rPr>
      <t xml:space="preserve">算</t>
    </r>
    <r>
      <rPr>
        <b/>
        <color rgb="FF000000"/>
        <rFont val="Times New Roman"/>
        <sz val="9"/>
      </rPr>
      <t xml:space="preserve">       </t>
    </r>
    <r>
      <rPr>
        <b/>
        <color rgb="FF000000"/>
        <rFont val="宋体"/>
        <sz val="9"/>
      </rPr>
      <t xml:space="preserve">期</t>
    </r>
  </si>
  <si>
    <r>
      <rPr>
        <b/>
        <color rgb="FF000000"/>
        <rFont val="Times New Roman"/>
        <sz val="9"/>
      </rPr>
      <t xml:space="preserve">(</t>
    </r>
    <r>
      <rPr>
        <b/>
        <color rgb="FF000000"/>
        <rFont val="宋体"/>
        <sz val="9"/>
      </rPr>
      <t xml:space="preserve">年</t>
    </r>
    <r>
      <rPr>
        <b/>
        <color rgb="FF000000"/>
        <rFont val="Times New Roman"/>
        <sz val="9"/>
      </rPr>
      <t xml:space="preserve">)</t>
    </r>
  </si>
  <si>
    <t>房屋、建筑物（新增）</t>
  </si>
  <si>
    <t>原值</t>
  </si>
  <si>
    <t>当期折旧费</t>
  </si>
  <si>
    <t>净值</t>
  </si>
  <si>
    <t>机器设备</t>
  </si>
  <si>
    <t>属于固定资产的其他费用</t>
  </si>
  <si>
    <t>固定资产合计</t>
  </si>
  <si>
    <t>内容</t>
  </si>
  <si>
    <t>计算方式</t>
  </si>
  <si>
    <t>参考取费标准</t>
  </si>
  <si>
    <t>从筹建之日起至办理竣工财务决算之日止发生的管理性质的支出，包括工作人员薪酬及相关费用、办公费、办公场地租用费、差旅交通费、劳动保护费、工具用具使用费、固定资产使用费、招募生产工人费、技术图书资料费（含软件）、业务招待费、竣工验收费和其他管理性质开支</t>
  </si>
  <si>
    <t>工程费用×建设单位管理费费率</t>
  </si>
  <si>
    <t>按80%计取</t>
  </si>
  <si>
    <t>用地与工程准备费</t>
  </si>
  <si>
    <t>（一）</t>
  </si>
  <si>
    <t>土地使用费和补偿费</t>
  </si>
  <si>
    <t>此部分不考虑</t>
  </si>
  <si>
    <t>征地补偿费</t>
  </si>
  <si>
    <t>1.1</t>
  </si>
  <si>
    <t>土地补偿费</t>
  </si>
  <si>
    <t>青苗补偿费和地上附着物补偿费</t>
  </si>
  <si>
    <t>安置补助费</t>
  </si>
  <si>
    <t>耕地开垦费和森林植被恢复费</t>
  </si>
  <si>
    <t>生态补偿与压覆矿产资源补偿费</t>
  </si>
  <si>
    <t>其他补偿费</t>
  </si>
  <si>
    <t>拆迁补偿费用</t>
  </si>
  <si>
    <t>拆迁补偿金</t>
  </si>
  <si>
    <t>迁移补偿费</t>
  </si>
  <si>
    <t>土地出让金</t>
  </si>
  <si>
    <t>（二）</t>
  </si>
  <si>
    <t>场地准备费是使工程项目的建设场地达到开工条件，由建设单位组织进行的场地平整等准备工作而发生的费用。
临时设施费是指建设单位为满足施工建设需要而提供的未列入工程费用的临时水、电、路、信、气、热等工程和临时仓库等建（构）筑物的建设、维修、拆除、摊销费用或租赁费用，以及货物、码头租赁等费用</t>
  </si>
  <si>
    <t>工程费用×费率+拆除清理费</t>
  </si>
  <si>
    <t>按照“洪府发[2004]3号”的60%计取</t>
  </si>
  <si>
    <t>市政公用配套设施费</t>
  </si>
  <si>
    <t xml:space="preserve">使用市政公用设施的建设项目，按照项目所在地省级人民政府有关规定建设或缴纳的市政公用设施建设配套费用，可能发生的公用供水、供气、供热设施建设的贴补费用、供电多回路高可靠性供电费用以及绿化工程补偿费用。 </t>
  </si>
  <si>
    <t>《南昌市市政公用设施配套费征收管理办法实施细则》计取，计取金额不包含“可能发生的公用供水、供气、供热设施建设的贴补费用、供电多回路高可靠性供电费用以及绿化工程补偿费用”</t>
  </si>
  <si>
    <t>技术服务费</t>
  </si>
  <si>
    <t>建设项目前期工作的咨询收费。包括：建设项目专题研究、编制目建议书、可行性研究报告,以及其他与建设项目前期工作有关的咨询服务收费。</t>
  </si>
  <si>
    <t>专项评价费</t>
  </si>
  <si>
    <t>洪府发[2004]3号”的70%计取</t>
  </si>
  <si>
    <t>职业病危害预评价费</t>
  </si>
  <si>
    <t>地质灾害危险性评价费</t>
  </si>
  <si>
    <t>“洪府发[2004]3号”的70%计取</t>
  </si>
  <si>
    <t>压覆矿产资源评价费</t>
  </si>
  <si>
    <t>危险与可操作性分析及安全完整性评价费</t>
  </si>
  <si>
    <t>按照原劳动部《建设项目（工程）劳动安全卫生监察规定》和《建设项目（工程）劳动安全卫生评价管理办法》的规定，为分析建设项目存在的职业危害、危害因素的种类和危害成都，并提出先进、科学、合理可行的劳动安全卫生技术和管理对策的所需费用。</t>
  </si>
  <si>
    <t>工程费用X(0.1%-0.5%)</t>
  </si>
  <si>
    <t>其他专项评价费</t>
  </si>
  <si>
    <t>（三）</t>
  </si>
  <si>
    <t>勘察设计费</t>
  </si>
  <si>
    <t>工程费用的0.8%-1.1%</t>
  </si>
  <si>
    <t>工程设计费参照执行“计价格[2002]10号”标准，并按照投资5000万元以下按85%、投资5000万元以上（含）按80%计取。</t>
  </si>
  <si>
    <t>（四）</t>
  </si>
  <si>
    <t>指委托工程监理单位对工程实施监理工作所需费用。包括：施工监理和勘察、设计、保修等阶段监理。</t>
  </si>
  <si>
    <r>
      <rPr>
        <color rgb="FF000000"/>
        <rFont val="仿宋_GB2312"/>
        <sz val="10.5"/>
      </rPr>
      <t xml:space="preserve">洪府发</t>
    </r>
    <r>
      <rPr>
        <color rgb="FF000000"/>
        <rFont val="宋体"/>
        <sz val="10.5"/>
      </rPr>
      <t xml:space="preserve">[2004]3</t>
    </r>
    <r>
      <rPr>
        <color rgb="FF000000"/>
        <rFont val="仿宋_GB2312"/>
        <sz val="10.5"/>
      </rPr>
      <t xml:space="preserve">号”的</t>
    </r>
    <r>
      <rPr>
        <color rgb="FF000000"/>
        <rFont val="宋体"/>
        <sz val="10.5"/>
      </rPr>
      <t xml:space="preserve">70%</t>
    </r>
    <r>
      <rPr>
        <color rgb="FF000000"/>
        <rFont val="仿宋_GB2312"/>
        <sz val="10.5"/>
      </rPr>
      <t xml:space="preserve">计取</t>
    </r>
  </si>
  <si>
    <t>（五）</t>
  </si>
  <si>
    <t>研究试验费</t>
  </si>
  <si>
    <t>（六）</t>
  </si>
  <si>
    <t>特殊设备安全监督检验费</t>
  </si>
  <si>
    <t>（七）</t>
  </si>
  <si>
    <t>监造费</t>
  </si>
  <si>
    <t>（八）</t>
  </si>
  <si>
    <t>指招标代理机构接受招标人委托,从事招标业务所需的费用。包括：编制招标文件，审查投标人资格，组织投标人踏勘现场并答疑，组织开标、评标、定标、以及提供招标前期咨询、协调合同的签订等业务。</t>
  </si>
  <si>
    <t>下浮20%计取</t>
  </si>
  <si>
    <t>（九）</t>
  </si>
  <si>
    <t>指施工图审查机构受建设单位委托，根据国家法律、法规、技术标准与规范，对施工图进行审查所需的费用。</t>
  </si>
  <si>
    <t>按70%计取</t>
  </si>
  <si>
    <t>（十）</t>
  </si>
  <si>
    <t>技术经济标准使用费</t>
  </si>
  <si>
    <t>（十一）</t>
  </si>
  <si>
    <t>指委托工程造价咨询单位审核设计概算、编制工程量清单、工程结算和竣工决算等计价文件，以及从事建设各阶段工程造价管理的咨询服务，出具工程造价成果文件等费用。</t>
  </si>
  <si>
    <t>（十二）</t>
  </si>
  <si>
    <t>指建设项目在建设期间根据需要对建筑工程、安装工程及机器设备和人身安全进行投保而发生的保险费用。包括：建筑安装工程一切险、人身意外伤害险和引进设备财产保险等费用。</t>
  </si>
  <si>
    <t>工程费用 X(0.3%~.6%)</t>
  </si>
  <si>
    <t>输入费用</t>
  </si>
  <si>
    <t>输入建筑面积</t>
  </si>
  <si>
    <t>评估报告书</t>
  </si>
  <si>
    <t>评估报告表</t>
  </si>
  <si>
    <t>    估算投资额</t>
  </si>
  <si>
    <t>1000万元</t>
  </si>
  <si>
    <t>1000～3000</t>
  </si>
  <si>
    <t>3000万元～</t>
  </si>
  <si>
    <t>1亿元～</t>
  </si>
  <si>
    <t>5亿元～</t>
  </si>
  <si>
    <t>10亿元～</t>
  </si>
  <si>
    <t>50亿元</t>
  </si>
  <si>
    <t>咨询评估项目</t>
  </si>
  <si>
    <t>以下</t>
  </si>
  <si>
    <t>1亿元</t>
  </si>
  <si>
    <t>5亿元</t>
  </si>
  <si>
    <t>10亿元</t>
  </si>
  <si>
    <t>以上</t>
  </si>
  <si>
    <t>一、编制项目建议书</t>
  </si>
  <si>
    <t>2～4</t>
  </si>
  <si>
    <t>4～6</t>
  </si>
  <si>
    <t>6～14</t>
  </si>
  <si>
    <t>14～37</t>
  </si>
  <si>
    <t>37～55</t>
  </si>
  <si>
    <t>55～100</t>
  </si>
  <si>
    <t>100～125</t>
  </si>
  <si>
    <t>二、编制可行性研究报告</t>
  </si>
  <si>
    <t>3～6</t>
  </si>
  <si>
    <t>6～12</t>
  </si>
  <si>
    <t>12～28</t>
  </si>
  <si>
    <t>28～75</t>
  </si>
  <si>
    <t>75～110</t>
  </si>
  <si>
    <t>110～200</t>
  </si>
  <si>
    <t>200～250</t>
  </si>
  <si>
    <t>三、评估项目建议书</t>
  </si>
  <si>
    <t>1～2</t>
  </si>
  <si>
    <t>4～8</t>
  </si>
  <si>
    <t>8～12</t>
  </si>
  <si>
    <t>12～15</t>
  </si>
  <si>
    <t>15～17</t>
  </si>
  <si>
    <t>17～20</t>
  </si>
  <si>
    <t>四、评估可行性研究报告</t>
  </si>
  <si>
    <t>1.5～3</t>
  </si>
  <si>
    <t>3～5</t>
  </si>
  <si>
    <t>5～10</t>
  </si>
  <si>
    <t>10～15</t>
  </si>
  <si>
    <t>15～20</t>
  </si>
  <si>
    <t>20～25</t>
  </si>
  <si>
    <t>25～35</t>
  </si>
  <si>
    <t>行业调整系数</t>
  </si>
  <si>
    <t>林业与建筑0.8， 市政公用工程与交通（公路）0.7。工程复杂程度调整系数0.8~1.2。</t>
  </si>
  <si>
    <t>项目建议书</t>
  </si>
  <si>
    <t>可行性研究报告</t>
  </si>
  <si>
    <t>评估项目建议书</t>
  </si>
  <si>
    <t>评估可行性研究报告</t>
  </si>
  <si>
    <t>输入工程费用</t>
  </si>
  <si>
    <t>造价区间（万）</t>
  </si>
  <si>
    <t>货物采购招标</t>
  </si>
  <si>
    <t>要计算的造价（万）</t>
  </si>
  <si>
    <t>100以下</t>
  </si>
  <si>
    <t>100－500</t>
  </si>
  <si>
    <t>500－1000</t>
  </si>
  <si>
    <t>1000－5000</t>
  </si>
  <si>
    <t>5000－10000</t>
  </si>
  <si>
    <t>10000－100000</t>
  </si>
  <si>
    <t>100000以上</t>
  </si>
  <si>
    <t>合计费用</t>
  </si>
  <si>
    <t>最终费用万元：</t>
  </si>
  <si>
    <t>允许范围：上浮20%</t>
  </si>
  <si>
    <t>允许范围：下浮20%</t>
  </si>
  <si>
    <t>内容锁定区</t>
  </si>
  <si>
    <t>关于印发《基本建设项目建设成本管理规定》的通知</t>
  </si>
  <si>
    <t>党中央有关部门，国务院各部委、各直属机构，军委后勤保障部，武警总部，全国人大常委会办公厅，全国政协办公厅，高法院，高检院，各民主党派中央，有关人民团体，各中央管理企业，各省、自治区、计划单列市财政厅（局），新疆生产建设兵团财务局：</t>
  </si>
  <si>
    <t>　　为推动各部门、各地区进一步加强基本建设成本核算管理，提高资金使用效益，针对基本建设成本管理中反映出的主要问题，依据《基本建设财务规则》，现印发《基本建设项目建设成本管理规定》，请认真贯彻执行。</t>
  </si>
  <si>
    <t>附件：1.基本建设项目建设成本管理规定</t>
  </si>
  <si>
    <t xml:space="preserve">           2.项目建设管理费总额控制数费率表</t>
  </si>
  <si>
    <t>财 政 部</t>
  </si>
  <si>
    <t>附件1：</t>
  </si>
  <si>
    <t>基本建设项目建设成本管理规定</t>
  </si>
  <si>
    <t>　　第一条  为了规范基本建设项目建设成本管理，提高建设资金使用效益，依据《基本建设财务规则》（财政部令第81号），制定本规定。</t>
  </si>
  <si>
    <t xml:space="preserve">       第二条　建筑安装工程投资支出是指基本建设项目（以下简称项目）建设单位按照批准的建设内容发生的建筑工程和安装工程的实际成本，其中不包括被安装设备本身的价值，以及按照合同规定支付给施工单位的预付备料款和预付工程款。</t>
  </si>
  <si>
    <t>在此区域输入</t>
  </si>
  <si>
    <t xml:space="preserve">       第三条　设备投资支出是指项目建设单位按照批准的建设内容发生的各种设备的实际成本（不包括工程抵扣的增值税进项税额），包括需要安装设备、不需要安装设备和为生产准备的不够固定资产标准的工具、器具的实际成本。</t>
  </si>
  <si>
    <t xml:space="preserve">       需要安装设备是指必须将其整体或几个部位装配起来，安装在基础上或建筑物支架上才能使用的设备。不需要安装设备是指不必固定在一定位置或支架上就可以使用的设备。</t>
  </si>
  <si>
    <t xml:space="preserve">       第四条　待摊投资支出是指项目建设单位按照批准的建设内容发生的，应当分摊计入相关资产价值的各项费用和税金支出。主要包括：</t>
  </si>
  <si>
    <t xml:space="preserve">      （一）勘察费、设计费、研究试验费、可行性研究费及项目其他前期费用；</t>
  </si>
  <si>
    <t xml:space="preserve">      （二）土地征用及迁移补偿费、土地复垦及补偿费、森林植被恢复费及其他为取得或租用土地使用权而发生的费用；</t>
  </si>
  <si>
    <t xml:space="preserve">      （三）土地使用税、耕地占用税、契税、车船税、印花税及按规定缴纳的其他税费；</t>
  </si>
  <si>
    <t xml:space="preserve">      （四）项目建设管理费、代建管理费、临时设施费、监理费、招标投标费、社会中介机构审查费及其他管理性质的费用；</t>
  </si>
  <si>
    <t xml:space="preserve">      （五）项目建设期间发生的各类借款利息、债券利息、贷款评估费、国外借款手续费及承诺费、汇兑损益、债券发行费用及其他债务利息支出或融资费用；</t>
  </si>
  <si>
    <t xml:space="preserve">      （六）工程检测费、设备检验费、负荷联合试车费及其他检验检测类费用；</t>
  </si>
  <si>
    <t xml:space="preserve">      （七）固定资产损失、器材处理亏损、设备盘亏及毁损、报废工程净损失及其他损失；</t>
  </si>
  <si>
    <t xml:space="preserve">      （八）系统集成等信息工程的费用支出；</t>
  </si>
  <si>
    <t xml:space="preserve">      （九）其他待摊投资性质支出。</t>
  </si>
  <si>
    <t xml:space="preserve">       项目在建设期间的建设资金存款利息收入冲减债务利息支出，利息收入超过利息支出的部分，冲减待摊投资总支出。</t>
  </si>
  <si>
    <t xml:space="preserve">       第五条  项目建设管理费是指项目建设单位从项目筹建之日起至办理竣工财务决算之日止发生的管理性质的支出。包括：不在原单位发工资的工作人员工资及相关费用、办公费、办公场地租用费、差旅交通费、劳动保护费、工具用具使用费、固定资产使用费、招募生产工人费、技术图书资料费（含软件）、业务招待费、施工现场津贴、竣工验收费和其他管理性质开支。</t>
  </si>
  <si>
    <t xml:space="preserve">       项目建设单位应当严格执行《党政机关厉行节约反对浪费条例》，严格控制项目建设管理费。</t>
  </si>
  <si>
    <t xml:space="preserve">       第六条 行政事业单位项目建设管理费实行总额控制，分年度据实列支。总额控制数以项目审批部门批准的项目总投资（经批准的动态投资，不含项目建设管理费）扣除土地征用、迁移补偿等为取得或租用土地使用权而发生的费用为基数分档计算。具体计算方法见附件。</t>
  </si>
  <si>
    <t>　    建设地点分散、点多面广、建设工期长以及使用新技术、新工艺等的项目，项目建设管理费确需超过上述开支标准的，中央级项目,应当事前报项目主管部门审核批准，并报财政部备案，未经批准的，超标准发生的项目建设管理费由项目建设单位用自有资金弥补；地方级项目，由同级财政部门确定审核批准的要求和程序。</t>
  </si>
  <si>
    <t xml:space="preserve">       施工现场管理人员津贴标准比照当地财政部门制定的差旅费标准执行；一般不得发生业务招待费，确需列支的，项目业务招待费支出应当严格按照国家有关规定执行，并不得超过项目建设管理费的5%。</t>
  </si>
  <si>
    <t xml:space="preserve">       第七条 使用财政资金的国有和国有控股企业的项目建设管理费，比照第六条规定执行。国有和国有控股企业经营性项目的项目资本中，财政资金所占比例未超过50%的项目建设管理费可不执行第六条规定。</t>
  </si>
  <si>
    <t xml:space="preserve">       第八条  政府设立（或授权）、政府招标产生的代建制项目，代建管理费由同级财政部门根据代建内容和要求，按照不高于本规定项目建设管理费标准核定，计入项目建设成本。</t>
  </si>
  <si>
    <t xml:space="preserve">       实行代建制管理的项目，一般不得同时列支代建管理费和项目建设管理费，确需同时发生的，两项费用之和不得高于本规定的项目建设管理费限额。</t>
  </si>
  <si>
    <t xml:space="preserve">       建设地点分散、点多面广以及使用新技术、新工艺等的项目，代建管理费确需超过本规定确定的开支标准的，行政单位和使用财政资金建设的事业单位中央项目,应当事前报项目主管部门审核批准，并报财政部备案；地方项目，由同级财政部门确定审核批准的要求和程序。</t>
  </si>
  <si>
    <t xml:space="preserve">       代建管理费核定和支付应当与工程进度、建设质量结合，与代建内容、代建绩效挂钩，实行奖优罚劣。同时满足按时完成项目代建任务、工程质量优良、项目投资控制在批准概算总投资范围3个条件的，可以支付代建单位利润或奖励资金，代建单位利润或奖励资金一般不得超过代建管理费的10%，需使用财政资金支付的，应当事前报同级财政部门审核批准；未完成代建任务的，应当扣减代建管理费。</t>
  </si>
  <si>
    <t xml:space="preserve">       第九条　项目单项工程报废净损失计入待摊投资支出。</t>
  </si>
  <si>
    <t xml:space="preserve">       单项工程报废应当经有关部门或专业机构鉴定。非经营性项目以及使用财政资金所占比例超过项目资本50%的经营性项目，发生的单项工程报废经鉴定后，报项目竣工财务决算批复部门审核批准。</t>
  </si>
  <si>
    <t xml:space="preserve">       因设计单位、施工单位、供货单位等原因造成的单项工程报废损失，由责任单位承担。</t>
  </si>
  <si>
    <t xml:space="preserve">       第十条　其他投资支出是指项目建设单位按照批准的项目建设内容发生的房屋购置支出，基本畜禽、林木等的购置、饲养、培育支出，办公生活用家具、器具购置支出，软件研发及不能计入设备投资的软件购置等支出。</t>
  </si>
  <si>
    <t xml:space="preserve">       第十一条  本规定自2016年9月1日起施行。《财政部关于切实加强政府投资项目代建制财政财务管理有关问题的指导意见》(财建〔2004〕300号)同时废止。</t>
  </si>
  <si>
    <t>附件2</t>
  </si>
  <si>
    <t>项目建设管理费总额控制数费率表</t>
  </si>
  <si>
    <t>工程总概算</t>
  </si>
  <si>
    <t>算例</t>
  </si>
  <si>
    <t>项目建设管理费</t>
  </si>
  <si>
    <t>1000以下</t>
  </si>
  <si>
    <t>1000*2%=20</t>
  </si>
  <si>
    <t>1001-5000</t>
  </si>
  <si>
    <t>20+（5000-1000）*1.5%=80</t>
  </si>
  <si>
    <t>5001-10000</t>
  </si>
  <si>
    <t>80+（10000-5000）*1.2%=140</t>
  </si>
  <si>
    <t>10001-50000</t>
  </si>
  <si>
    <t>140+（50000-10000）*1%=540</t>
  </si>
  <si>
    <t>50001-100000</t>
  </si>
  <si>
    <t>540+（100000-50000）*0.8%=940</t>
  </si>
  <si>
    <t>940+（200000-100000）*0.4%=1340</t>
  </si>
  <si>
    <t>发布日期:  2016年08月18日</t>
  </si>
  <si>
    <t xml:space="preserve">场地准备及临时设施费:包括场地准备费和临时设施费. </t>
  </si>
  <si>
    <t>1)场地准备费是使工程项目的建设场地达到开工条件，由建设单位组织进行的场地平整等准备工作而发生的费用。</t>
  </si>
  <si>
    <t xml:space="preserve">2)临时设施费是指为满足施工建设需要而供到场地界区的、未列人工程费用的临时水、电、路、通信、气等其他工程费用和建设单位的现场临时建（构)筑物的搭设、建设、维修、拆除、摊销费用或租赁费用，货物、码头租赁等费用，以及施工期间专用公路养护费、维修费. </t>
  </si>
  <si>
    <t xml:space="preserve">3)场地准备及临时设施应尽量与永久性工程统一考虑.建设场地的大型土石方工程应进人工程费用中的总图运输费用中. </t>
  </si>
  <si>
    <t xml:space="preserve">计算方法: </t>
  </si>
  <si>
    <r>
      <rPr>
        <color rgb="FF000000"/>
        <rFont val="等线"/>
        <sz val="11"/>
      </rPr>
      <t xml:space="preserve">1）新建项目的场地准备和临时设施费应根据实际工程量估算，或按工程费用的比例计算，一般可按</t>
    </r>
    <r>
      <rPr>
        <b/>
        <color rgb="FFFF0000"/>
        <rFont val="等线"/>
        <sz val="11"/>
      </rPr>
      <t xml:space="preserve">第一部分工程费用的 0. 5% ^ 2.0%</t>
    </r>
    <r>
      <rPr>
        <color rgb="FF000000"/>
        <rFont val="等线"/>
        <sz val="11"/>
      </rPr>
      <t xml:space="preserve">计列。</t>
    </r>
  </si>
  <si>
    <t>(2)改扩建项目一般只计拆除清理费。</t>
  </si>
  <si>
    <t>(3)发生拆除清理费时可按新建同类工程造价或主材费、设备费的比例计算.凡可回收材料的拆除采用以料抵工方式，不再计算拆除清理费。</t>
  </si>
  <si>
    <t>(4)此费用不包括已列入建筑安装工程费用中的施工单位临时设施费用。</t>
  </si>
  <si>
    <t>总投资额
（亿元）</t>
  </si>
  <si>
    <t>基础报价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</si>
</sst>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1]&quot;在&quot;&quot;此&quot;&quot;区&quot;&quot;间&quot;&quot;内&quot;;[=0]\ "/>
    <numFmt numFmtId="165" formatCode="0.0"/>
    <numFmt numFmtId="166" formatCode="0.00_);[Red]\(0.00\)"/>
    <numFmt numFmtId="167" formatCode="0.0000_ "/>
    <numFmt numFmtId="168" formatCode="0.000%"/>
    <numFmt numFmtId="169" formatCode="0_);[Red]\(0\)"/>
    <numFmt numFmtId="170" formatCode="0.0000%"/>
    <numFmt numFmtId="171" formatCode="_(* #,##0.00_);_(* \(#,##0.00\);_(* &quot;-&quot;??_);_(@_)"/>
    <numFmt numFmtId="172" formatCode="_ * #,##0.00_ ;_ * \-#,##0.00_ ;_ * &quot;-&quot;??_ ;_ @_ "/>
    <numFmt numFmtId="173" formatCode="0.00_ "/>
    <numFmt numFmtId="174" formatCode="&quot;每&quot;&quot;五&quot;&quot;年&quot;&quot;上&quot;&quot;升&quot;0%"/>
    <numFmt numFmtId="175" formatCode="yyyy/mm/dd;@"/>
    <numFmt numFmtId="176" formatCode="0.00%&quot;利&quot;&quot;率&quot;"/>
    <numFmt numFmtId="177" formatCode="&quot;发&quot;&quot;债&quot;&quot;金&quot;&quot;额&quot;&quot;的&quot;0.00%"/>
    <numFmt numFmtId="178" formatCode="&quot;（&quot;&quot;一&quot;\+&quot;二&quot;&quot;）&quot;&quot;×&quot;0%"/>
  </numFmts>
  <fonts count="66">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1"/>
      <color rgb="FF000000"/>
      <name val="等线"/>
    </font>
    <font>
      <sz val="11"/>
      <color rgb="FF3F3F76"/>
      <name val="等线"/>
    </font>
    <font>
      <b/>
      <sz val="11"/>
      <color rgb="FF000000"/>
      <name val="等线"/>
    </font>
    <font>
      <b/>
      <sz val="11"/>
      <color rgb="FF000000"/>
      <name val="宋体"/>
    </font>
    <font>
      <sz val="11"/>
      <color rgb="FF000000"/>
      <name val="宋体"/>
    </font>
    <font>
      <sz val="10"/>
      <color rgb="FF000000"/>
      <name val="宋体"/>
    </font>
    <font>
      <sz val="10"/>
      <color rgb="FF000000"/>
      <name val="仿宋_GB2312"/>
    </font>
    <font>
      <b/>
      <sz val="9"/>
      <color rgb="FF000000"/>
      <name val="宋体"/>
    </font>
    <font>
      <b/>
      <sz val="9"/>
      <color rgb="FF000000"/>
      <name val="Times New Roman"/>
    </font>
    <font>
      <sz val="9"/>
      <color rgb="FF000000"/>
      <name val="Times New Roman"/>
    </font>
    <font>
      <sz val="9"/>
      <color rgb="FF000000"/>
      <name val="宋体"/>
    </font>
    <font>
      <sz val="10"/>
      <color rgb="FF000000"/>
      <name val="仿宋"/>
    </font>
    <font>
      <sz val="11"/>
      <color rgb="FF000000"/>
      <name val="仿宋"/>
    </font>
    <font>
      <b/>
      <sz val="11"/>
      <color rgb="FF000000"/>
      <name val="仿宋"/>
    </font>
    <font>
      <b/>
      <sz val="10"/>
      <color rgb="FF000000"/>
      <name val="仿宋"/>
    </font>
    <font>
      <sz val="6"/>
      <color rgb="FF000000"/>
      <name val="等线"/>
    </font>
    <font>
      <sz val="14"/>
      <color rgb="FF000000"/>
      <name val="仿宋"/>
    </font>
    <font>
      <sz val="14"/>
      <color rgb="FF000000"/>
      <name val="Times New Roman"/>
    </font>
    <font>
      <sz val="10"/>
      <color rgb="FF000000"/>
      <name val="Times New Roman"/>
    </font>
    <font>
      <b/>
      <sz val="10"/>
      <color rgb="FF000000"/>
      <name val="宋体"/>
    </font>
    <font>
      <sz val="10"/>
      <color rgb="FF000000"/>
      <name val="MS Gothic"/>
    </font>
    <font>
      <sz val="12"/>
      <color rgb="FF000000"/>
      <name val="宋体"/>
    </font>
    <font>
      <b/>
      <sz val="10"/>
      <color rgb="FF000000"/>
      <name val="Times New Roman"/>
    </font>
    <font>
      <b/>
      <sz val="11"/>
      <color rgb="FF000000"/>
      <name val="Segoe UI Symbol"/>
    </font>
    <font>
      <b/>
      <sz val="11"/>
      <color rgb="FFFA7D00"/>
      <name val="等线"/>
    </font>
    <font>
      <b/>
      <sz val="11"/>
      <color rgb="FF3F3F76"/>
      <name val="等线"/>
    </font>
    <font>
      <b/>
      <sz val="12"/>
      <color rgb="FF000000"/>
      <name val="仿宋"/>
    </font>
    <font>
      <b/>
      <sz val="10"/>
      <color rgb="FFFF0000"/>
      <name val="仿宋"/>
    </font>
    <font>
      <b/>
      <sz val="10"/>
      <color rgb="FF000000"/>
      <name val="SimSun"/>
    </font>
    <font>
      <sz val="12"/>
      <color rgb="FF000000"/>
      <name val="仿宋"/>
    </font>
    <font>
      <sz val="10"/>
      <color rgb="FF000000"/>
      <name val="SimSun"/>
    </font>
    <font>
      <b/>
      <sz val="9"/>
      <color rgb="FF000000"/>
      <name val="仿宋"/>
    </font>
    <font>
      <b/>
      <sz val="12"/>
      <color rgb="FF000000"/>
      <name val="宋体"/>
    </font>
    <font>
      <b/>
      <sz val="14"/>
      <color rgb="FF000000"/>
      <name val="仿宋"/>
    </font>
    <font>
      <sz val="11"/>
      <color rgb="FF333333"/>
      <name val="Helvetica"/>
    </font>
    <font>
      <sz val="10"/>
      <color rgb="FFFF0000"/>
      <name val="仿宋"/>
    </font>
    <font>
      <b/>
      <sz val="11"/>
      <color rgb="FFFF0000"/>
      <name val="宋体"/>
    </font>
    <font>
      <sz val="12"/>
      <color rgb="FF70AD47"/>
      <name val="仿宋"/>
    </font>
    <font>
      <sz val="16"/>
      <color rgb="FF000000"/>
      <name val="仿宋"/>
    </font>
    <font>
      <b/>
      <sz val="16"/>
      <color rgb="FF000000"/>
      <name val="等线"/>
    </font>
    <font>
      <sz val="11"/>
      <color rgb="FF000000"/>
      <name val="仿宋"/>
    </font>
    <font>
      <sz val="11"/>
      <color rgb="FF000000"/>
      <name val="等线"/>
    </font>
    <font>
      <b/>
      <sz val="11"/>
      <color rgb="FF000000"/>
      <name val="等线"/>
    </font>
    <font>
      <sz val="11"/>
      <color rgb="FF000000"/>
      <name val="等线"/>
    </font>
    <font>
      <sz val="11"/>
      <color rgb="FF000000"/>
      <name val="等线"/>
    </font>
    <font>
      <b/>
      <sz val="11"/>
      <color rgb="FF000000"/>
      <name val="等线"/>
    </font>
    <font>
      <b/>
      <sz val="11"/>
      <color rgb="FF000000"/>
      <name val="等线"/>
    </font>
    <font>
      <b/>
      <sz val="11"/>
      <color rgb="FF000000"/>
      <name val="等线"/>
    </font>
    <font>
      <b/>
      <sz val="10"/>
      <color rgb="FF000000"/>
      <name val="仿宋"/>
    </font>
    <font>
      <sz val="11"/>
      <color rgb="FF000000"/>
      <name val="等线"/>
    </font>
    <font>
      <b/>
      <sz val="11"/>
      <color rgb="FF000000"/>
      <name val="宋体"/>
    </font>
    <font>
      <b/>
      <sz val="11"/>
      <color rgb="FF000000"/>
      <name val="宋体"/>
    </font>
    <font>
      <b/>
      <sz val="11"/>
      <color rgb="FF000000"/>
      <name val="宋体"/>
    </font>
    <font>
      <b/>
      <sz val="11"/>
      <color rgb="FF000000"/>
      <name val="宋体"/>
    </font>
    <font>
      <b/>
      <sz val="11"/>
      <color rgb="FF000000"/>
      <name val="宋体"/>
    </font>
    <font>
      <sz val="11"/>
      <color rgb="FF000000"/>
      <name val="等线"/>
    </font>
    <font>
      <sz val="11"/>
      <color rgb="FF000000"/>
      <name val="等线"/>
    </font>
    <font>
      <sz val="11"/>
      <color rgb="FF000000"/>
      <name val="等线"/>
    </font>
    <font>
      <sz val="11"/>
      <color rgb="FF000000"/>
      <name val="等线"/>
    </font>
    <font>
      <sz val="11"/>
      <color rgb="FF000000"/>
      <name val="等线"/>
    </font>
    <font>
      <sz val="11"/>
      <color rgb="FF000000"/>
      <name val="等线"/>
    </font>
    <font>
      <sz val="11"/>
      <color rgb="FF000000"/>
      <name val="等线"/>
    </font>
  </fonts>
  <fills count="22">
    <fill>
      <patternFill patternType="none"/>
    </fill>
    <fill>
      <patternFill patternType="gray125"/>
    </fill>
    <fill>
      <patternFill patternType="solid">
        <fgColor rgb="FFFFCC99"/>
      </patternFill>
    </fill>
    <fill>
      <patternFill patternType="solid">
        <fgColor rgb="FFFFFF00"/>
      </patternFill>
    </fill>
    <fill>
      <patternFill patternType="solid">
        <fgColor rgb="FF969696"/>
      </patternFill>
    </fill>
    <fill>
      <patternFill patternType="solid">
        <fgColor rgb="FFE7E6E6"/>
      </patternFill>
    </fill>
    <fill>
      <patternFill patternType="solid">
        <fgColor rgb="FFC8C8C8"/>
      </patternFill>
    </fill>
    <fill>
      <patternFill patternType="solid">
        <fgColor rgb="FFD8D8D8"/>
      </patternFill>
    </fill>
    <fill>
      <patternFill patternType="solid">
        <fgColor rgb="FFC5E0B3"/>
      </patternFill>
    </fill>
    <fill>
      <patternFill patternType="solid">
        <fgColor rgb="FF70AD47"/>
      </patternFill>
    </fill>
    <fill>
      <patternFill patternType="solid">
        <fgColor rgb="FF92D050"/>
      </patternFill>
    </fill>
    <fill>
      <patternFill patternType="solid">
        <fgColor rgb="FFA8D08D"/>
      </patternFill>
    </fill>
    <fill>
      <patternFill patternType="solid">
        <fgColor rgb="FFB4C6E7"/>
      </patternFill>
    </fill>
    <fill>
      <patternFill patternType="solid">
        <fgColor rgb="FFFFC000"/>
      </patternFill>
    </fill>
    <fill>
      <patternFill patternType="solid">
        <fgColor rgb="FFC00000"/>
      </patternFill>
    </fill>
    <fill>
      <patternFill patternType="solid">
        <fgColor rgb="FF9CC2E5"/>
      </patternFill>
    </fill>
    <fill>
      <patternFill patternType="solid">
        <fgColor rgb="FFF2F2F2"/>
      </patternFill>
    </fill>
    <fill>
      <patternFill patternType="solid">
        <fgColor rgb="FFFFFFFF"/>
      </patternFill>
    </fill>
    <fill>
      <patternFill patternType="solid">
        <fgColor rgb="FFBDD6EE"/>
      </patternFill>
    </fill>
    <fill>
      <patternFill patternType="solid">
        <fgColor rgb="FFF7CAAC"/>
      </patternFill>
    </fill>
    <fill>
      <patternFill patternType="solid">
        <fgColor rgb="FFFFD965"/>
      </patternFill>
    </fill>
    <fill>
      <patternFill patternType="solid">
        <fgColor rgb="FFFFCC00"/>
      </patternFill>
    </fill>
  </fills>
  <borders count="41">
    <border>
      <left/>
      <right/>
      <top/>
      <bottom/>
      <diagonal/>
    </border>
    <border>
      <left style="thin">
        <color rgb="FF000000"/>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000000"/>
      </left>
      <right style="thin">
        <color rgb="FF000000"/>
      </right>
      <top/>
      <bottom/>
      <diagonal/>
    </border>
    <border>
      <left/>
      <right/>
      <top style="medium">
        <color rgb="FF000000"/>
      </top>
      <bottom style="thin">
        <color rgb="FF000000"/>
      </bottom>
      <diagonal/>
    </border>
    <border>
      <left/>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top style="thin">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top/>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medium">
        <color rgb="FF000000"/>
      </left>
      <right/>
      <top style="thin">
        <color rgb="FF000000"/>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571">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1" xfId="0" applyFont="1" applyBorder="1" applyProtection="1">
      <alignment horizontal="center" vertical="center" wrapText="1"/>
    </xf>
    <xf numFmtId="0" fontId="4" fillId="0" borderId="1" xfId="0" applyFont="1" applyBorder="1" applyProtection="1">
      <alignment horizontal="general" vertical="center"/>
    </xf>
    <xf numFmtId="0" fontId="5" fillId="2" borderId="2" xfId="0" applyFont="1" applyFill="1" applyBorder="1" applyProtection="1">
      <alignment horizontal="center" vertical="center"/>
    </xf>
    <xf numFmtId="0" fontId="4" fillId="0" borderId="0" xfId="0" applyFont="1">
      <alignment horizontal="center" vertical="center"/>
    </xf>
    <xf numFmtId="164" fontId="4" fillId="0" borderId="1" xfId="0" applyNumberFormat="1" applyFont="1" applyBorder="1" applyProtection="1">
      <alignment horizontal="center" vertical="center"/>
    </xf>
    <xf numFmtId="58" fontId="4" fillId="0" borderId="1" xfId="0" applyNumberFormat="1" applyFont="1" applyBorder="1" applyProtection="1">
      <alignment horizontal="center" vertical="center"/>
    </xf>
    <xf numFmtId="0" fontId="4" fillId="0" borderId="0" xfId="0" applyFont="1">
      <alignment horizontal="general" vertical="center" wrapText="1"/>
    </xf>
    <xf numFmtId="0" fontId="6" fillId="0" borderId="0" xfId="0" applyFont="1">
      <alignment horizontal="center" vertical="center"/>
    </xf>
    <xf numFmtId="2" fontId="4" fillId="3" borderId="1" xfId="0" applyNumberFormat="1" applyFont="1" applyFill="1" applyBorder="1" applyProtection="1">
      <alignment horizontal="center" vertical="center"/>
    </xf>
    <xf numFmtId="2" fontId="4" fillId="0" borderId="1" xfId="0" applyNumberFormat="1" applyFont="1" applyBorder="1" applyProtection="1">
      <alignment horizontal="center" vertical="center"/>
    </xf>
    <xf numFmtId="9" fontId="4" fillId="0" borderId="1" xfId="0" applyNumberFormat="1" applyFont="1" applyBorder="1" applyProtection="1">
      <alignment horizontal="center" vertical="center"/>
    </xf>
    <xf numFmtId="10" fontId="4" fillId="0" borderId="1" xfId="0" applyNumberFormat="1" applyFont="1" applyBorder="1" applyProtection="1">
      <alignment horizontal="center" vertical="center"/>
    </xf>
    <xf numFmtId="0" fontId="4" fillId="3" borderId="1" xfId="0" applyFont="1" applyFill="1" applyBorder="1" applyProtection="1">
      <alignment horizontal="general" vertical="center"/>
    </xf>
    <xf numFmtId="2" fontId="4" fillId="0" borderId="1" xfId="0" applyNumberFormat="1" applyFont="1" applyBorder="1" applyProtection="1">
      <alignment horizontal="general" vertical="center"/>
    </xf>
    <xf numFmtId="165" fontId="4" fillId="0" borderId="1" xfId="0" applyNumberFormat="1" applyFont="1" applyBorder="1" applyProtection="1">
      <alignment horizontal="general" vertical="center"/>
    </xf>
    <xf numFmtId="166" fontId="4" fillId="0" borderId="1" xfId="0" applyNumberFormat="1" applyFont="1" applyBorder="1" applyProtection="1">
      <alignment horizontal="center" vertical="center"/>
    </xf>
    <xf numFmtId="0" fontId="4" fillId="0" borderId="3" xfId="0" applyFont="1" applyBorder="1" applyProtection="1">
      <alignment horizontal="center" vertical="center"/>
    </xf>
    <xf numFmtId="10" fontId="4" fillId="0" borderId="3" xfId="0" applyNumberFormat="1" applyFont="1" applyBorder="1" applyProtection="1">
      <alignment horizontal="center" vertical="center"/>
    </xf>
    <xf numFmtId="0" fontId="7" fillId="4" borderId="4" xfId="0" applyFont="1" applyFill="1" applyBorder="1" applyProtection="1">
      <alignment horizontal="center" vertical="center"/>
    </xf>
    <xf numFmtId="0" fontId="8" fillId="0" borderId="5" xfId="0" applyFont="1" applyBorder="1" applyProtection="1">
      <alignment horizontal="center" vertical="center"/>
    </xf>
    <xf numFmtId="0" fontId="8" fillId="0" borderId="6" xfId="0" applyFont="1" applyBorder="1" applyProtection="1">
      <alignment horizontal="right" vertical="center"/>
    </xf>
    <xf numFmtId="0" fontId="8" fillId="0" borderId="7" xfId="0" applyFont="1" applyBorder="1" applyProtection="1">
      <alignment horizontal="general" vertical="center"/>
    </xf>
    <xf numFmtId="10" fontId="8" fillId="0" borderId="7" xfId="0" applyNumberFormat="1" applyFont="1" applyBorder="1" applyProtection="1">
      <alignment horizontal="general" vertical="center"/>
    </xf>
    <xf numFmtId="167" fontId="8" fillId="0" borderId="7" xfId="0" applyNumberFormat="1" applyFont="1" applyBorder="1" applyProtection="1">
      <alignment horizontal="general" vertical="center"/>
      <protection hidden="1"/>
    </xf>
    <xf numFmtId="167" fontId="8" fillId="0" borderId="7" xfId="0" applyNumberFormat="1" applyFont="1" applyBorder="1" applyProtection="1">
      <alignment horizontal="general" vertical="center"/>
    </xf>
    <xf numFmtId="0" fontId="8" fillId="0" borderId="8" xfId="0" applyFont="1" applyBorder="1" applyProtection="1">
      <alignment horizontal="right" vertical="center"/>
    </xf>
    <xf numFmtId="0" fontId="8" fillId="0" borderId="1" xfId="0" applyFont="1" applyBorder="1" applyProtection="1">
      <alignment horizontal="general" vertical="center"/>
    </xf>
    <xf numFmtId="10" fontId="8" fillId="0" borderId="1" xfId="0" applyNumberFormat="1" applyFont="1" applyBorder="1" applyProtection="1">
      <alignment horizontal="general" vertical="center"/>
    </xf>
    <xf numFmtId="167" fontId="8" fillId="0" borderId="1" xfId="0" applyNumberFormat="1" applyFont="1" applyBorder="1" applyProtection="1">
      <alignment horizontal="general" vertical="center"/>
      <protection hidden="1"/>
    </xf>
    <xf numFmtId="167" fontId="8" fillId="0" borderId="1" xfId="0" applyNumberFormat="1" applyFont="1" applyBorder="1" applyProtection="1">
      <alignment horizontal="general" vertical="center"/>
    </xf>
    <xf numFmtId="0" fontId="8" fillId="0" borderId="9" xfId="0" applyFont="1" applyBorder="1" applyProtection="1">
      <alignment horizontal="general" vertical="center"/>
    </xf>
    <xf numFmtId="0" fontId="8" fillId="0" borderId="10" xfId="0" applyFont="1" applyBorder="1" applyProtection="1">
      <alignment horizontal="general" vertical="center"/>
    </xf>
    <xf numFmtId="0" fontId="8" fillId="0" borderId="11" xfId="0" applyFont="1" applyBorder="1" applyProtection="1">
      <alignment horizontal="general" vertical="center"/>
    </xf>
    <xf numFmtId="0" fontId="8" fillId="0" borderId="12" xfId="0" applyFont="1" applyBorder="1" applyProtection="1">
      <alignment horizontal="right" vertical="center"/>
    </xf>
    <xf numFmtId="0" fontId="8" fillId="0" borderId="13" xfId="0" applyFont="1" applyBorder="1" applyProtection="1">
      <alignment horizontal="general" vertical="center"/>
    </xf>
    <xf numFmtId="0" fontId="8" fillId="0" borderId="14" xfId="0" applyFont="1" applyBorder="1" applyProtection="1">
      <alignment horizontal="general" vertical="center"/>
    </xf>
    <xf numFmtId="0" fontId="8" fillId="0" borderId="15" xfId="0" applyFont="1" applyBorder="1" applyProtection="1">
      <alignment horizontal="right" vertical="center"/>
    </xf>
    <xf numFmtId="0" fontId="8" fillId="0" borderId="16" xfId="0" applyFont="1" applyBorder="1" applyProtection="1">
      <alignment horizontal="general" vertical="center"/>
    </xf>
    <xf numFmtId="0" fontId="8" fillId="0" borderId="17" xfId="0" applyFont="1" applyBorder="1" applyProtection="1">
      <alignment horizontal="general" vertical="center"/>
    </xf>
    <xf numFmtId="10" fontId="4" fillId="0" borderId="1" xfId="0" applyNumberFormat="1" applyFont="1" applyBorder="1" applyProtection="1">
      <alignment horizontal="general" vertical="center"/>
    </xf>
    <xf numFmtId="168" fontId="4" fillId="0" borderId="1" xfId="0" applyNumberFormat="1" applyFont="1" applyBorder="1" applyProtection="1">
      <alignment horizontal="general" vertical="center"/>
    </xf>
    <xf numFmtId="0" fontId="4" fillId="0" borderId="18" xfId="0" applyFont="1" applyBorder="1" applyProtection="1">
      <alignment horizontal="center" vertical="center"/>
    </xf>
    <xf numFmtId="0" fontId="8" fillId="0" borderId="0" xfId="0" applyFont="1">
      <alignment horizontal="general" vertical="center"/>
    </xf>
    <xf numFmtId="167" fontId="8" fillId="0" borderId="19" xfId="0" applyNumberFormat="1" applyFont="1" applyBorder="1" applyProtection="1">
      <alignment horizontal="general" vertical="center"/>
    </xf>
    <xf numFmtId="167" fontId="8" fillId="0" borderId="20" xfId="0" applyNumberFormat="1" applyFont="1" applyBorder="1" applyProtection="1">
      <alignment horizontal="general" vertical="center"/>
    </xf>
    <xf numFmtId="167" fontId="8" fillId="0" borderId="18" xfId="0" applyNumberFormat="1" applyFont="1" applyBorder="1" applyProtection="1">
      <alignment horizontal="general" vertical="center"/>
    </xf>
    <xf numFmtId="168" fontId="4" fillId="0" borderId="1" xfId="0" applyNumberFormat="1" applyFont="1" applyBorder="1" applyProtection="1">
      <alignment horizontal="center" vertical="center"/>
    </xf>
    <xf numFmtId="0" fontId="9" fillId="0" borderId="21" xfId="0" applyFont="1" applyBorder="1" applyProtection="1">
      <alignment horizontal="center" vertical="top" wrapText="1"/>
    </xf>
    <xf numFmtId="0" fontId="9" fillId="0" borderId="22" xfId="0" applyFont="1" applyBorder="1" applyProtection="1">
      <alignment horizontal="left" vertical="center" wrapText="1"/>
    </xf>
    <xf numFmtId="0" fontId="9" fillId="0" borderId="23" xfId="0" applyFont="1" applyBorder="1" applyProtection="1">
      <alignment horizontal="left" vertical="top" wrapText="1"/>
    </xf>
    <xf numFmtId="0" fontId="9" fillId="0" borderId="24" xfId="0" applyFont="1" applyBorder="1" applyProtection="1">
      <alignment horizontal="center" vertical="center" wrapText="1"/>
    </xf>
    <xf numFmtId="0" fontId="9" fillId="0" borderId="23" xfId="0" applyFont="1" applyBorder="1" applyProtection="1">
      <alignment horizontal="left" vertical="center" wrapText="1"/>
    </xf>
    <xf numFmtId="169" fontId="4" fillId="0" borderId="1" xfId="0" applyNumberFormat="1" applyFont="1" applyBorder="1" applyProtection="1">
      <alignment horizontal="center" vertical="center"/>
    </xf>
    <xf numFmtId="0" fontId="9" fillId="0" borderId="24" xfId="0" applyFont="1" applyBorder="1" applyProtection="1">
      <alignment horizontal="left" vertical="center" wrapText="1"/>
    </xf>
    <xf numFmtId="0" fontId="5" fillId="2" borderId="2" xfId="0" applyFont="1" applyFill="1" applyBorder="1" applyProtection="1">
      <alignment horizontal="general" vertical="center"/>
    </xf>
    <xf numFmtId="165" fontId="4" fillId="0" borderId="1" xfId="0" applyNumberFormat="1" applyFont="1" applyBorder="1" applyProtection="1">
      <alignment horizontal="center" vertical="center"/>
    </xf>
    <xf numFmtId="1" fontId="4" fillId="0" borderId="1" xfId="0" applyNumberFormat="1" applyFont="1" applyBorder="1" applyProtection="1">
      <alignment horizontal="center" vertical="center"/>
    </xf>
    <xf numFmtId="0" fontId="5" fillId="2" borderId="1" xfId="0" applyFont="1" applyFill="1" applyBorder="1" applyProtection="1">
      <alignment horizontal="center" vertical="center"/>
    </xf>
    <xf numFmtId="0" fontId="4" fillId="0" borderId="1" xfId="0" applyFont="1" applyBorder="1" applyProtection="1">
      <alignment horizontal="general" vertical="center" wrapText="1"/>
    </xf>
    <xf numFmtId="170" fontId="4" fillId="0" borderId="1" xfId="0" applyNumberFormat="1" applyFont="1" applyBorder="1" applyProtection="1">
      <alignment horizontal="general" vertical="center"/>
    </xf>
    <xf numFmtId="170" fontId="4" fillId="0" borderId="1" xfId="0" applyNumberFormat="1" applyFont="1" applyBorder="1" applyProtection="1">
      <alignment horizontal="general" vertical="center"/>
    </xf>
    <xf numFmtId="0" fontId="4" fillId="3" borderId="1" xfId="0" applyFont="1" applyFill="1" applyBorder="1" applyProtection="1">
      <alignment horizontal="center" vertical="center"/>
    </xf>
    <xf numFmtId="49" fontId="4" fillId="0" borderId="1" xfId="0" applyNumberFormat="1" applyFont="1" applyBorder="1" applyProtection="1">
      <alignment horizontal="center" vertical="center"/>
    </xf>
    <xf numFmtId="0" fontId="4" fillId="3" borderId="1" xfId="0" applyFont="1" applyFill="1" applyBorder="1" applyProtection="1">
      <alignment horizontal="center" vertical="center" wrapText="1"/>
    </xf>
    <xf numFmtId="0" fontId="10" fillId="0" borderId="1" xfId="0" applyFont="1" applyBorder="1" applyProtection="1">
      <alignment horizontal="center" vertical="center"/>
    </xf>
    <xf numFmtId="0" fontId="4" fillId="0" borderId="0" xfId="0" applyFont="1">
      <alignment horizontal="general" vertical="bottom"/>
    </xf>
    <xf numFmtId="0" fontId="11" fillId="5" borderId="10" xfId="0" applyFont="1" applyFill="1" applyBorder="1" applyProtection="1">
      <alignment horizontal="center" vertical="center" wrapText="1"/>
    </xf>
    <xf numFmtId="0" fontId="12" fillId="5" borderId="1" xfId="0" applyFont="1" applyFill="1" applyBorder="1" applyProtection="1">
      <alignment horizontal="center" vertical="center"/>
    </xf>
    <xf numFmtId="0" fontId="12" fillId="5" borderId="7" xfId="0" applyFont="1" applyFill="1" applyBorder="1" applyProtection="1">
      <alignment horizontal="center" vertical="center" wrapText="1"/>
    </xf>
    <xf numFmtId="0" fontId="13" fillId="0" borderId="1" xfId="0" applyFont="1" applyBorder="1" applyProtection="1">
      <alignment horizontal="center" vertical="center"/>
    </xf>
    <xf numFmtId="0" fontId="14" fillId="0" borderId="1" xfId="0" applyFont="1" applyBorder="1" applyProtection="1">
      <alignment horizontal="left" vertical="center"/>
    </xf>
    <xf numFmtId="169" fontId="13" fillId="6" borderId="1" xfId="0" applyNumberFormat="1" applyFont="1" applyFill="1" applyBorder="1" applyProtection="1">
      <alignment horizontal="center" vertical="center"/>
    </xf>
    <xf numFmtId="166" fontId="13" fillId="0" borderId="1" xfId="0" applyNumberFormat="1" applyFont="1" applyBorder="1" applyProtection="1">
      <alignment horizontal="center" vertical="center"/>
    </xf>
    <xf numFmtId="169" fontId="13" fillId="0" borderId="1" xfId="0" applyNumberFormat="1" applyFont="1" applyBorder="1" applyProtection="1">
      <alignment horizontal="center" vertical="center"/>
    </xf>
    <xf numFmtId="166" fontId="13" fillId="0" borderId="1" xfId="0" applyNumberFormat="1" applyFont="1" applyBorder="1" applyProtection="1">
      <alignment horizontal="right" vertical="center"/>
    </xf>
    <xf numFmtId="0" fontId="14" fillId="0" borderId="1" xfId="0" applyFont="1" applyBorder="1" applyProtection="1">
      <alignment horizontal="left" vertical="center" wrapText="1"/>
    </xf>
    <xf numFmtId="0" fontId="15" fillId="0" borderId="0" xfId="0" applyFont="1">
      <alignment horizontal="center" vertical="center"/>
    </xf>
    <xf numFmtId="0" fontId="16" fillId="0" borderId="0" xfId="0" applyFont="1">
      <alignment horizontal="general" vertical="center"/>
    </xf>
    <xf numFmtId="0" fontId="15" fillId="0" borderId="25" xfId="0" applyFont="1" applyBorder="1" applyProtection="1">
      <alignment horizontal="general" vertical="center"/>
    </xf>
    <xf numFmtId="171" fontId="15" fillId="0" borderId="0" xfId="0" applyNumberFormat="1" applyFont="1">
      <alignment horizontal="center" vertical="center"/>
    </xf>
    <xf numFmtId="0" fontId="15" fillId="0" borderId="1" xfId="0" applyFont="1" applyBorder="1" applyProtection="1">
      <alignment horizontal="center" vertical="center"/>
    </xf>
    <xf numFmtId="171" fontId="15" fillId="0" borderId="1" xfId="0" applyNumberFormat="1" applyFont="1" applyBorder="1" applyProtection="1">
      <alignment horizontal="center" vertical="center"/>
    </xf>
    <xf numFmtId="0" fontId="15" fillId="0" borderId="1" xfId="0" applyFont="1" applyBorder="1" applyProtection="1">
      <alignment horizontal="left" vertical="center"/>
    </xf>
    <xf numFmtId="171" fontId="15" fillId="0" borderId="1" xfId="0" applyNumberFormat="1" applyFont="1" applyBorder="1" applyProtection="1">
      <alignment horizontal="center" vertical="center"/>
    </xf>
    <xf numFmtId="171" fontId="15" fillId="0" borderId="26" xfId="0" applyNumberFormat="1" applyFont="1" applyBorder="1" applyProtection="1">
      <alignment horizontal="general" vertical="center"/>
    </xf>
    <xf numFmtId="0" fontId="17" fillId="0" borderId="1" xfId="0" applyFont="1" applyBorder="1" applyProtection="1">
      <alignment horizontal="center" vertical="center"/>
    </xf>
    <xf numFmtId="9" fontId="17" fillId="0" borderId="1" xfId="0" applyNumberFormat="1" applyFont="1" applyBorder="1" applyProtection="1">
      <alignment horizontal="center" vertical="center"/>
    </xf>
    <xf numFmtId="0" fontId="16" fillId="0" borderId="1" xfId="0" applyFont="1" applyBorder="1" applyProtection="1">
      <alignment horizontal="center" vertical="center"/>
    </xf>
    <xf numFmtId="172" fontId="16" fillId="0" borderId="1" xfId="0" applyNumberFormat="1" applyFont="1" applyBorder="1" applyProtection="1">
      <alignment horizontal="center" vertical="center"/>
    </xf>
    <xf numFmtId="173" fontId="5" fillId="2" borderId="2" xfId="0" applyNumberFormat="1" applyFont="1" applyFill="1" applyBorder="1" applyProtection="1">
      <alignment horizontal="center" vertical="center"/>
    </xf>
    <xf numFmtId="173" fontId="17" fillId="0" borderId="1" xfId="0" applyNumberFormat="1" applyFont="1" applyBorder="1" applyProtection="1">
      <alignment horizontal="center" vertical="center"/>
    </xf>
    <xf numFmtId="0" fontId="17" fillId="0" borderId="27" xfId="0" applyFont="1" applyBorder="1" applyProtection="1">
      <alignment horizontal="center" vertical="center"/>
    </xf>
    <xf numFmtId="0" fontId="8" fillId="0" borderId="0" xfId="0" applyFont="1">
      <alignment horizontal="general" vertical="center"/>
    </xf>
    <xf numFmtId="0" fontId="17" fillId="0" borderId="1" xfId="0" applyFont="1" applyBorder="1" applyProtection="1">
      <alignment horizontal="center" vertical="center" wrapText="1"/>
    </xf>
    <xf numFmtId="0" fontId="6" fillId="0" borderId="0" xfId="0" applyFont="1">
      <alignment horizontal="general" vertical="center"/>
    </xf>
    <xf numFmtId="173" fontId="4" fillId="0" borderId="1" xfId="0" applyNumberFormat="1" applyFont="1" applyBorder="1" applyProtection="1">
      <alignment horizontal="center" vertical="center"/>
    </xf>
    <xf numFmtId="0" fontId="6" fillId="0" borderId="1" xfId="0" applyFont="1" applyBorder="1" applyProtection="1">
      <alignment horizontal="center" vertical="center"/>
    </xf>
    <xf numFmtId="2" fontId="6" fillId="0" borderId="1" xfId="0" applyNumberFormat="1" applyFont="1" applyBorder="1" applyProtection="1">
      <alignment horizontal="center" vertical="center"/>
    </xf>
    <xf numFmtId="0" fontId="8" fillId="0" borderId="0" xfId="0" applyFont="1">
      <alignment horizontal="general" vertical="bottom"/>
    </xf>
    <xf numFmtId="0" fontId="8" fillId="0" borderId="0" xfId="0" applyFont="1">
      <alignment horizontal="center" vertical="center"/>
    </xf>
    <xf numFmtId="0" fontId="8" fillId="0" borderId="0" xfId="0" applyFont="1">
      <alignment horizontal="center" vertical="center" wrapText="1"/>
    </xf>
    <xf numFmtId="0" fontId="7" fillId="7" borderId="27" xfId="0" applyFont="1" applyFill="1" applyBorder="1" applyProtection="1">
      <alignment horizontal="center" vertical="center"/>
    </xf>
    <xf numFmtId="0" fontId="7" fillId="7" borderId="1" xfId="0" applyFont="1" applyFill="1" applyBorder="1" applyProtection="1">
      <alignment horizontal="center" vertical="center" wrapText="1"/>
    </xf>
    <xf numFmtId="0" fontId="7" fillId="7" borderId="1" xfId="0" applyFont="1" applyFill="1" applyBorder="1" applyProtection="1">
      <alignment horizontal="center" vertical="center"/>
    </xf>
    <xf numFmtId="0" fontId="7" fillId="7" borderId="10" xfId="0" applyFont="1" applyFill="1" applyBorder="1" applyProtection="1">
      <alignment horizontal="center" vertical="center" wrapText="1"/>
    </xf>
    <xf numFmtId="9" fontId="7" fillId="7" borderId="1" xfId="0" applyNumberFormat="1" applyFont="1" applyFill="1" applyBorder="1" applyProtection="1">
      <alignment horizontal="center" vertical="center" wrapText="1"/>
    </xf>
    <xf numFmtId="0" fontId="8" fillId="0" borderId="1" xfId="0" applyFont="1" applyBorder="1" applyProtection="1">
      <alignment horizontal="center" vertical="center"/>
    </xf>
    <xf numFmtId="172" fontId="8" fillId="0" borderId="1" xfId="0" applyNumberFormat="1" applyFont="1" applyBorder="1" applyProtection="1">
      <alignment horizontal="center" vertical="center"/>
    </xf>
    <xf numFmtId="0" fontId="7" fillId="0" borderId="1" xfId="0" applyFont="1" applyBorder="1" applyProtection="1">
      <alignment horizontal="center" vertical="center"/>
    </xf>
    <xf numFmtId="172" fontId="7" fillId="0" borderId="1" xfId="0" applyNumberFormat="1" applyFont="1" applyBorder="1" applyProtection="1">
      <alignment horizontal="center" vertical="center"/>
    </xf>
    <xf numFmtId="172" fontId="8" fillId="0" borderId="1" xfId="0" applyNumberFormat="1" applyFont="1" applyBorder="1" applyProtection="1">
      <alignment horizontal="center" vertical="center" wrapText="1"/>
    </xf>
    <xf numFmtId="0" fontId="8" fillId="0" borderId="27" xfId="0" applyFont="1" applyBorder="1" applyProtection="1">
      <alignment horizontal="center" vertical="center"/>
    </xf>
    <xf numFmtId="173" fontId="8" fillId="0" borderId="1" xfId="0" applyNumberFormat="1" applyFont="1" applyBorder="1" applyProtection="1">
      <alignment horizontal="center" vertical="center"/>
    </xf>
    <xf numFmtId="9" fontId="8" fillId="0" borderId="1" xfId="0" applyNumberFormat="1" applyFont="1" applyBorder="1" applyProtection="1">
      <alignment horizontal="center" vertical="center"/>
    </xf>
    <xf numFmtId="2" fontId="8" fillId="0" borderId="1" xfId="0" applyNumberFormat="1" applyFont="1" applyBorder="1" applyProtection="1">
      <alignment horizontal="center" vertical="center"/>
    </xf>
    <xf numFmtId="0" fontId="7" fillId="0" borderId="27" xfId="0" applyFont="1" applyBorder="1" applyProtection="1">
      <alignment horizontal="center" vertical="center"/>
    </xf>
    <xf numFmtId="173" fontId="7" fillId="0" borderId="1" xfId="0" applyNumberFormat="1" applyFont="1" applyBorder="1" applyProtection="1">
      <alignment horizontal="center" vertical="center"/>
    </xf>
    <xf numFmtId="2" fontId="7" fillId="0" borderId="1" xfId="0" applyNumberFormat="1" applyFont="1" applyBorder="1" applyProtection="1">
      <alignment horizontal="center" vertical="center"/>
    </xf>
    <xf numFmtId="9" fontId="15" fillId="0" borderId="1" xfId="0" applyNumberFormat="1" applyFont="1" applyBorder="1" applyProtection="1">
      <alignment horizontal="center" vertical="center"/>
    </xf>
    <xf numFmtId="173" fontId="15" fillId="0" borderId="1" xfId="0" applyNumberFormat="1" applyFont="1" applyBorder="1" applyProtection="1">
      <alignment horizontal="center" vertical="center"/>
    </xf>
    <xf numFmtId="0" fontId="15" fillId="0" borderId="7" xfId="0" applyFont="1" applyBorder="1" applyProtection="1">
      <alignment horizontal="center" vertical="center"/>
    </xf>
    <xf numFmtId="173" fontId="18" fillId="0" borderId="1" xfId="0" applyNumberFormat="1" applyFont="1" applyBorder="1" applyProtection="1">
      <alignment horizontal="center" vertical="center"/>
    </xf>
    <xf numFmtId="0" fontId="19" fillId="0" borderId="0" xfId="0" applyFont="1">
      <alignment horizontal="general" vertical="bottom"/>
    </xf>
    <xf numFmtId="0" fontId="15" fillId="8" borderId="1" xfId="0" applyFont="1" applyFill="1" applyBorder="1" applyProtection="1">
      <alignment horizontal="center" vertical="center"/>
    </xf>
    <xf numFmtId="173" fontId="15" fillId="8" borderId="1" xfId="0" applyNumberFormat="1" applyFont="1" applyFill="1" applyBorder="1" applyProtection="1">
      <alignment horizontal="center" vertical="center"/>
    </xf>
    <xf numFmtId="173" fontId="18" fillId="8" borderId="1" xfId="0" applyNumberFormat="1" applyFont="1" applyFill="1" applyBorder="1" applyProtection="1">
      <alignment horizontal="center" vertical="center"/>
    </xf>
    <xf numFmtId="9" fontId="7" fillId="6" borderId="1" xfId="0" applyNumberFormat="1" applyFont="1" applyFill="1" applyBorder="1" applyProtection="1">
      <alignment horizontal="center" vertical="center"/>
    </xf>
    <xf numFmtId="0" fontId="15" fillId="0" borderId="10" xfId="0" applyFont="1" applyBorder="1" applyProtection="1">
      <alignment horizontal="general" vertical="center"/>
    </xf>
    <xf numFmtId="9" fontId="15" fillId="0" borderId="1" xfId="0" applyNumberFormat="1" applyFont="1" applyBorder="1" applyProtection="1">
      <alignment horizontal="center" vertical="center"/>
    </xf>
    <xf numFmtId="174" fontId="15" fillId="0" borderId="1" xfId="0" applyNumberFormat="1" applyFont="1" applyBorder="1" applyProtection="1">
      <alignment horizontal="center" vertical="center"/>
    </xf>
    <xf numFmtId="0" fontId="15" fillId="0" borderId="1" xfId="0" applyFont="1" applyBorder="1" applyProtection="1">
      <alignment horizontal="center" vertical="center" textRotation="255"/>
    </xf>
    <xf numFmtId="172" fontId="15" fillId="0" borderId="1" xfId="0" applyNumberFormat="1" applyFont="1" applyBorder="1" applyProtection="1">
      <alignment horizontal="center" vertical="center"/>
    </xf>
    <xf numFmtId="0" fontId="4" fillId="0" borderId="1" xfId="0" applyFont="1" applyBorder="1" applyProtection="1">
      <alignment horizontal="center" vertical="bottom"/>
    </xf>
    <xf numFmtId="0" fontId="4" fillId="0" borderId="1" xfId="0" applyFont="1" applyBorder="1" applyProtection="1">
      <alignment horizontal="general" vertical="bottom" wrapText="1"/>
    </xf>
    <xf numFmtId="0" fontId="20" fillId="0" borderId="1" xfId="0" applyFont="1" applyBorder="1" applyProtection="1">
      <alignment horizontal="center" vertical="center"/>
    </xf>
    <xf numFmtId="173" fontId="21" fillId="0" borderId="1" xfId="0" applyNumberFormat="1" applyFont="1" applyBorder="1" applyProtection="1">
      <alignment horizontal="center" vertical="center"/>
    </xf>
    <xf numFmtId="0" fontId="21" fillId="0" borderId="1" xfId="0" applyFont="1" applyBorder="1" applyProtection="1">
      <alignment horizontal="center" vertical="center"/>
    </xf>
    <xf numFmtId="173" fontId="4" fillId="0" borderId="1" xfId="0" applyNumberFormat="1" applyFont="1" applyBorder="1" applyProtection="1">
      <alignment horizontal="center" vertical="bottom"/>
    </xf>
    <xf numFmtId="0" fontId="4" fillId="0" borderId="1" xfId="0" applyFont="1" applyBorder="1" applyProtection="1">
      <alignment horizontal="general" vertical="bottom"/>
    </xf>
    <xf numFmtId="0" fontId="4" fillId="0" borderId="0" xfId="0" applyFont="1">
      <alignment horizontal="center" vertical="bottom"/>
    </xf>
    <xf numFmtId="0" fontId="6" fillId="0" borderId="0" xfId="0" applyFont="1">
      <alignment horizontal="general" vertical="bottom"/>
    </xf>
    <xf numFmtId="0" fontId="4" fillId="0" borderId="1" xfId="0" applyFont="1" applyBorder="1" applyProtection="1">
      <alignment horizontal="center" vertical="bottom" wrapText="1"/>
    </xf>
    <xf numFmtId="173" fontId="4" fillId="0" borderId="1" xfId="0" applyNumberFormat="1" applyFont="1" applyBorder="1" applyProtection="1">
      <alignment horizontal="general" vertical="bottom"/>
    </xf>
    <xf numFmtId="0" fontId="4" fillId="9" borderId="1" xfId="0" applyFont="1" applyFill="1" applyBorder="1" applyProtection="1">
      <alignment horizontal="center" vertical="bottom"/>
    </xf>
    <xf numFmtId="0" fontId="4" fillId="0" borderId="0" xfId="0" applyFont="1">
      <alignment horizontal="general" vertical="bottom" wrapText="1"/>
    </xf>
    <xf numFmtId="0" fontId="22" fillId="0" borderId="0" xfId="0" applyFont="1">
      <alignment horizontal="center" vertical="center"/>
      <protection locked="0"/>
    </xf>
    <xf numFmtId="0" fontId="22" fillId="0" borderId="0" xfId="0" applyFont="1">
      <alignment horizontal="general" vertical="center"/>
      <protection locked="0"/>
    </xf>
    <xf numFmtId="0" fontId="23" fillId="0" borderId="0" xfId="0" applyFont="1">
      <alignment horizontal="general" vertical="center"/>
      <protection locked="0"/>
    </xf>
    <xf numFmtId="0" fontId="9" fillId="3" borderId="0" xfId="0" applyFont="1" applyFill="1">
      <alignment horizontal="center" vertical="center"/>
      <protection locked="0"/>
    </xf>
    <xf numFmtId="0" fontId="9" fillId="10" borderId="0" xfId="0" applyFont="1" applyFill="1">
      <alignment horizontal="center" vertical="center"/>
      <protection locked="0"/>
    </xf>
    <xf numFmtId="0" fontId="9" fillId="0" borderId="1" xfId="0" applyFont="1" applyBorder="1" applyProtection="1">
      <alignment horizontal="general" vertical="center"/>
      <protection locked="0"/>
    </xf>
    <xf numFmtId="0" fontId="22" fillId="3" borderId="1" xfId="0" applyFont="1" applyFill="1" applyBorder="1" applyProtection="1">
      <alignment horizontal="general" vertical="center"/>
      <protection locked="0"/>
    </xf>
    <xf numFmtId="0" fontId="22" fillId="3" borderId="1" xfId="0" applyFont="1" applyFill="1" applyBorder="1" applyProtection="1">
      <alignment horizontal="general" vertical="center"/>
    </xf>
    <xf numFmtId="0" fontId="9" fillId="0" borderId="0" xfId="0" applyFont="1">
      <alignment horizontal="general" vertical="center"/>
      <protection locked="0"/>
    </xf>
    <xf numFmtId="31" fontId="22" fillId="3" borderId="1" xfId="0" applyNumberFormat="1" applyFont="1" applyFill="1" applyBorder="1" applyProtection="1">
      <alignment horizontal="general" vertical="center"/>
      <protection locked="0"/>
    </xf>
    <xf numFmtId="31" fontId="22" fillId="3" borderId="1" xfId="0" applyNumberFormat="1" applyFont="1" applyFill="1" applyBorder="1" applyProtection="1">
      <alignment horizontal="general" vertical="center"/>
    </xf>
    <xf numFmtId="172" fontId="22" fillId="10" borderId="0" xfId="0" applyNumberFormat="1" applyFont="1" applyFill="1">
      <alignment horizontal="general" vertical="center"/>
    </xf>
    <xf numFmtId="0" fontId="9" fillId="0" borderId="0" xfId="0" applyFont="1">
      <alignment horizontal="general" vertical="center" wrapText="1"/>
      <protection locked="0"/>
    </xf>
    <xf numFmtId="0" fontId="9" fillId="0" borderId="1" xfId="0" applyFont="1" applyBorder="1" applyProtection="1">
      <alignment horizontal="left" vertical="center"/>
      <protection locked="0"/>
    </xf>
    <xf numFmtId="2" fontId="22" fillId="3" borderId="1" xfId="0" applyNumberFormat="1" applyFont="1" applyFill="1" applyBorder="1" applyProtection="1">
      <alignment horizontal="general" vertical="center"/>
      <protection locked="0"/>
    </xf>
    <xf numFmtId="172" fontId="9" fillId="10" borderId="0" xfId="0" applyNumberFormat="1" applyFont="1" applyFill="1">
      <alignment horizontal="general" vertical="center"/>
    </xf>
    <xf numFmtId="0" fontId="9" fillId="0" borderId="0" xfId="0" applyFont="1">
      <alignment horizontal="left" vertical="center" wrapText="1"/>
      <protection locked="0"/>
    </xf>
    <xf numFmtId="0" fontId="24" fillId="0" borderId="0" xfId="0" applyFont="1">
      <alignment horizontal="general" vertical="center"/>
      <protection locked="0"/>
    </xf>
    <xf numFmtId="172" fontId="22" fillId="0" borderId="1" xfId="0" applyNumberFormat="1" applyFont="1" applyBorder="1" applyProtection="1">
      <alignment horizontal="general" vertical="center"/>
    </xf>
    <xf numFmtId="172" fontId="22" fillId="10" borderId="0" xfId="0" applyNumberFormat="1" applyFont="1" applyFill="1">
      <alignment horizontal="general" vertical="center"/>
    </xf>
    <xf numFmtId="0" fontId="9" fillId="0" borderId="1" xfId="0" applyFont="1" applyBorder="1" applyProtection="1">
      <alignment horizontal="center" vertical="center"/>
      <protection locked="0"/>
    </xf>
    <xf numFmtId="0" fontId="22" fillId="0" borderId="1" xfId="0" applyFont="1" applyBorder="1" applyProtection="1">
      <alignment horizontal="center" vertical="center"/>
      <protection locked="0"/>
    </xf>
    <xf numFmtId="172" fontId="9" fillId="0" borderId="1" xfId="0" applyNumberFormat="1" applyFont="1" applyBorder="1" applyProtection="1">
      <alignment horizontal="center" vertical="center"/>
    </xf>
    <xf numFmtId="0" fontId="9" fillId="3" borderId="1" xfId="0" applyFont="1" applyFill="1" applyBorder="1" applyProtection="1">
      <alignment horizontal="center" vertical="center"/>
      <protection locked="0"/>
    </xf>
    <xf numFmtId="2" fontId="22" fillId="3" borderId="1" xfId="0" applyNumberFormat="1" applyFont="1" applyFill="1" applyBorder="1" applyProtection="1">
      <alignment horizontal="center" vertical="center"/>
      <protection locked="0"/>
    </xf>
    <xf numFmtId="0" fontId="22" fillId="3" borderId="1" xfId="0" applyFont="1" applyFill="1" applyBorder="1" applyProtection="1">
      <alignment horizontal="center" vertical="center"/>
      <protection locked="0"/>
    </xf>
    <xf numFmtId="172" fontId="22" fillId="0" borderId="1" xfId="0" applyNumberFormat="1" applyFont="1" applyBorder="1" applyProtection="1">
      <alignment horizontal="general" vertical="center"/>
    </xf>
    <xf numFmtId="172" fontId="22" fillId="0" borderId="0" xfId="0" applyNumberFormat="1" applyFont="1">
      <alignment horizontal="general" vertical="center"/>
      <protection locked="0"/>
    </xf>
    <xf numFmtId="0" fontId="22" fillId="10" borderId="0" xfId="0" applyFont="1" applyFill="1">
      <alignment horizontal="general" vertical="center"/>
    </xf>
    <xf numFmtId="172" fontId="22" fillId="3" borderId="1" xfId="0" applyNumberFormat="1" applyFont="1" applyFill="1" applyBorder="1" applyProtection="1">
      <alignment horizontal="general" vertical="center"/>
      <protection locked="0"/>
    </xf>
    <xf numFmtId="172" fontId="22" fillId="0" borderId="1" xfId="0" applyNumberFormat="1" applyFont="1" applyBorder="1" applyProtection="1">
      <alignment horizontal="general" vertical="center"/>
    </xf>
    <xf numFmtId="172" fontId="22" fillId="0" borderId="0" xfId="0" applyNumberFormat="1" applyFont="1">
      <alignment horizontal="general" vertical="center"/>
      <protection locked="0"/>
    </xf>
    <xf numFmtId="172" fontId="22" fillId="0" borderId="0" xfId="0" applyNumberFormat="1" applyFont="1">
      <alignment horizontal="general" vertical="center"/>
      <protection locked="0"/>
    </xf>
    <xf numFmtId="175" fontId="4" fillId="2" borderId="1" xfId="0" applyNumberFormat="1" applyFont="1" applyFill="1" applyBorder="1" applyProtection="1">
      <alignment horizontal="center" vertical="center"/>
    </xf>
    <xf numFmtId="0" fontId="6" fillId="11" borderId="1" xfId="0" applyFont="1" applyFill="1" applyBorder="1" applyProtection="1">
      <alignment horizontal="center" vertical="center"/>
    </xf>
    <xf numFmtId="0" fontId="23" fillId="0" borderId="1" xfId="0" applyFont="1" applyBorder="1" applyProtection="1">
      <alignment horizontal="center" vertical="center"/>
    </xf>
    <xf numFmtId="10" fontId="4" fillId="0" borderId="1" xfId="0" applyNumberFormat="1" applyFont="1" applyBorder="1" applyProtection="1">
      <alignment horizontal="center" vertical="center"/>
    </xf>
    <xf numFmtId="0" fontId="6" fillId="12" borderId="1" xfId="0" applyFont="1" applyFill="1" applyBorder="1" applyProtection="1">
      <alignment horizontal="center" vertical="center"/>
    </xf>
    <xf numFmtId="57" fontId="25" fillId="0" borderId="1" xfId="0" applyNumberFormat="1" applyFont="1" applyBorder="1" applyProtection="1">
      <alignment horizontal="center" vertical="center"/>
    </xf>
    <xf numFmtId="0" fontId="6" fillId="0" borderId="26" xfId="0" applyFont="1" applyBorder="1" applyProtection="1">
      <alignment horizontal="general" vertical="center"/>
    </xf>
    <xf numFmtId="0" fontId="23" fillId="7" borderId="1" xfId="0" applyFont="1" applyFill="1" applyBorder="1" applyProtection="1">
      <alignment horizontal="center" vertical="center"/>
    </xf>
    <xf numFmtId="0" fontId="23" fillId="0" borderId="10" xfId="0" applyFont="1" applyBorder="1" applyProtection="1">
      <alignment horizontal="center" vertical="center"/>
    </xf>
    <xf numFmtId="0" fontId="23" fillId="0" borderId="1" xfId="0" applyFont="1" applyBorder="1" applyProtection="1">
      <alignment horizontal="center" vertical="center"/>
    </xf>
    <xf numFmtId="0" fontId="26" fillId="0" borderId="1" xfId="0" applyFont="1" applyBorder="1" applyProtection="1">
      <alignment horizontal="center" vertical="center"/>
    </xf>
    <xf numFmtId="0" fontId="22" fillId="0" borderId="10" xfId="0" applyFont="1" applyBorder="1" applyProtection="1">
      <alignment horizontal="center" vertical="center"/>
    </xf>
    <xf numFmtId="0" fontId="9" fillId="0" borderId="1" xfId="0" applyFont="1" applyBorder="1" applyProtection="1">
      <alignment horizontal="center" vertical="center"/>
    </xf>
    <xf numFmtId="9" fontId="22" fillId="13" borderId="1" xfId="0" applyNumberFormat="1" applyFont="1" applyFill="1" applyBorder="1" applyProtection="1">
      <alignment horizontal="center" vertical="center"/>
    </xf>
    <xf numFmtId="9" fontId="4" fillId="2" borderId="1" xfId="0" applyNumberFormat="1" applyFont="1" applyFill="1" applyBorder="1" applyProtection="1">
      <alignment horizontal="center" vertical="center"/>
    </xf>
    <xf numFmtId="173" fontId="6" fillId="0" borderId="1" xfId="0" applyNumberFormat="1" applyFont="1" applyBorder="1" applyProtection="1">
      <alignment horizontal="center" vertical="center"/>
    </xf>
    <xf numFmtId="0" fontId="22" fillId="0" borderId="7" xfId="0" applyFont="1" applyBorder="1" applyProtection="1">
      <alignment horizontal="center" vertical="center"/>
    </xf>
    <xf numFmtId="173" fontId="4" fillId="0" borderId="1" xfId="0" applyNumberFormat="1" applyFont="1" applyBorder="1" applyProtection="1">
      <alignment horizontal="center" vertical="center"/>
    </xf>
    <xf numFmtId="0" fontId="22" fillId="0" borderId="1" xfId="0" applyFont="1" applyBorder="1" applyProtection="1">
      <alignment horizontal="center" vertical="center"/>
    </xf>
    <xf numFmtId="0" fontId="5" fillId="2" borderId="2" xfId="0" applyFont="1" applyFill="1" applyBorder="1" applyProtection="1">
      <alignment horizontal="general" vertical="top"/>
    </xf>
    <xf numFmtId="0" fontId="8" fillId="0" borderId="0" xfId="0" applyFont="1">
      <alignment horizontal="general" vertical="top"/>
    </xf>
    <xf numFmtId="0" fontId="4" fillId="14" borderId="0" xfId="0" applyFont="1" applyFill="1">
      <alignment horizontal="general" vertical="top"/>
    </xf>
    <xf numFmtId="0" fontId="4" fillId="0" borderId="0" xfId="0" applyFont="1">
      <alignment horizontal="general" vertical="top"/>
    </xf>
    <xf numFmtId="9" fontId="4" fillId="0" borderId="0" xfId="0" applyNumberFormat="1" applyFont="1">
      <alignment horizontal="general" vertical="bottom"/>
    </xf>
    <xf numFmtId="173" fontId="4" fillId="0" borderId="0" xfId="0" applyNumberFormat="1" applyFont="1">
      <alignment horizontal="general" vertical="bottom"/>
    </xf>
    <xf numFmtId="0" fontId="4" fillId="0" borderId="0" xfId="0" applyFont="1">
      <alignment horizontal="general" vertical="center"/>
      <protection hidden="1"/>
    </xf>
    <xf numFmtId="0" fontId="4" fillId="0" borderId="0" xfId="0" applyFont="1">
      <alignment horizontal="center" vertical="center"/>
      <protection hidden="1"/>
    </xf>
    <xf numFmtId="0" fontId="6" fillId="15" borderId="1" xfId="0" applyFont="1" applyFill="1" applyBorder="1" applyProtection="1">
      <alignment horizontal="center" vertical="center"/>
      <protection hidden="1"/>
    </xf>
    <xf numFmtId="0" fontId="27" fillId="15" borderId="1" xfId="0" applyFont="1" applyFill="1" applyBorder="1" applyProtection="1">
      <alignment horizontal="center" vertical="center"/>
      <protection hidden="1"/>
    </xf>
    <xf numFmtId="0" fontId="4" fillId="0" borderId="1" xfId="0" applyFont="1" applyBorder="1" applyProtection="1">
      <alignment horizontal="center" vertical="center"/>
      <protection hidden="1"/>
    </xf>
    <xf numFmtId="0" fontId="4" fillId="2" borderId="1" xfId="0" applyFont="1" applyFill="1" applyBorder="1" applyProtection="1">
      <alignment horizontal="center" vertical="center"/>
      <protection locked="0"/>
    </xf>
    <xf numFmtId="0" fontId="6" fillId="15" borderId="1" xfId="0" applyFont="1" applyFill="1" applyBorder="1" applyProtection="1">
      <alignment horizontal="general" vertical="center"/>
      <protection hidden="1"/>
    </xf>
    <xf numFmtId="0" fontId="6" fillId="15" borderId="1" xfId="0" applyFont="1" applyFill="1" applyBorder="1" applyProtection="1">
      <alignment horizontal="center" vertical="center"/>
      <protection hidden="1"/>
    </xf>
    <xf numFmtId="0" fontId="5" fillId="9" borderId="2" xfId="0" applyFont="1" applyFill="1" applyBorder="1" applyProtection="1">
      <alignment horizontal="general" vertical="center"/>
      <protection hidden="1"/>
    </xf>
    <xf numFmtId="0" fontId="8" fillId="0" borderId="0" xfId="0" applyFont="1">
      <alignment horizontal="general" vertical="center"/>
      <protection hidden="1"/>
    </xf>
    <xf numFmtId="0" fontId="5" fillId="9" borderId="2" xfId="0" applyFont="1" applyFill="1" applyBorder="1" applyProtection="1">
      <alignment horizontal="center" vertical="center"/>
      <protection hidden="1"/>
    </xf>
    <xf numFmtId="0" fontId="8" fillId="0" borderId="0" xfId="0" applyFont="1">
      <alignment horizontal="center" vertical="center"/>
      <protection hidden="1"/>
    </xf>
    <xf numFmtId="0" fontId="6" fillId="15" borderId="1" xfId="0" applyFont="1" applyFill="1" applyBorder="1" applyProtection="1">
      <alignment horizontal="center" vertical="center"/>
      <protection locked="0"/>
    </xf>
    <xf numFmtId="0" fontId="6" fillId="0" borderId="0" xfId="0" applyFont="1">
      <alignment horizontal="center" vertical="center"/>
      <protection hidden="1"/>
    </xf>
    <xf numFmtId="0" fontId="6" fillId="0" borderId="1" xfId="0" applyFont="1" applyBorder="1" applyProtection="1">
      <alignment horizontal="center" vertical="center"/>
      <protection hidden="1"/>
    </xf>
    <xf numFmtId="2" fontId="4" fillId="0" borderId="1" xfId="0" applyNumberFormat="1" applyFont="1" applyBorder="1" applyProtection="1">
      <alignment horizontal="center" vertical="center"/>
      <protection hidden="1"/>
    </xf>
    <xf numFmtId="2" fontId="28" fillId="16" borderId="2" xfId="0" applyNumberFormat="1" applyFont="1" applyFill="1" applyBorder="1" applyProtection="1">
      <alignment horizontal="center" vertical="center"/>
      <protection hidden="1"/>
    </xf>
    <xf numFmtId="0" fontId="6" fillId="0" borderId="1" xfId="0" applyFont="1" applyBorder="1" applyProtection="1">
      <alignment horizontal="center" vertical="center" wrapText="1"/>
      <protection hidden="1"/>
    </xf>
    <xf numFmtId="2" fontId="29" fillId="2" borderId="1" xfId="0" applyNumberFormat="1" applyFont="1" applyFill="1" applyBorder="1" applyProtection="1">
      <alignment horizontal="center" vertical="center"/>
      <protection locked="0"/>
    </xf>
    <xf numFmtId="2" fontId="6" fillId="0" borderId="1" xfId="0" applyNumberFormat="1" applyFont="1" applyBorder="1" applyProtection="1">
      <alignment horizontal="center" vertical="center"/>
      <protection hidden="1"/>
    </xf>
    <xf numFmtId="164" fontId="4" fillId="0" borderId="1" xfId="0" applyNumberFormat="1" applyFont="1" applyBorder="1" applyProtection="1">
      <alignment horizontal="center" vertical="center"/>
      <protection hidden="1"/>
    </xf>
    <xf numFmtId="0" fontId="4" fillId="0" borderId="1" xfId="0" applyFont="1" applyBorder="1" applyProtection="1">
      <alignment horizontal="general" vertical="center"/>
      <protection hidden="1"/>
    </xf>
    <xf numFmtId="169" fontId="4" fillId="0" borderId="0" xfId="0" applyNumberFormat="1" applyFont="1">
      <alignment horizontal="center" vertical="center"/>
      <protection hidden="1"/>
    </xf>
    <xf numFmtId="164" fontId="4" fillId="0" borderId="0" xfId="0" applyNumberFormat="1" applyFont="1">
      <alignment horizontal="center" vertical="center"/>
      <protection hidden="1"/>
    </xf>
    <xf numFmtId="2" fontId="4" fillId="0" borderId="0" xfId="0" applyNumberFormat="1" applyFont="1">
      <alignment horizontal="center" vertical="center"/>
      <protection hidden="1"/>
    </xf>
    <xf numFmtId="10" fontId="4" fillId="0" borderId="1" xfId="0" applyNumberFormat="1" applyFont="1" applyBorder="1" applyProtection="1">
      <alignment horizontal="general" vertical="center"/>
      <protection hidden="1"/>
    </xf>
    <xf numFmtId="10" fontId="8" fillId="0" borderId="1" xfId="0" applyNumberFormat="1" applyFont="1" applyBorder="1" applyProtection="1">
      <alignment horizontal="general" vertical="center"/>
      <protection hidden="1"/>
    </xf>
    <xf numFmtId="168" fontId="4" fillId="0" borderId="1" xfId="0" applyNumberFormat="1" applyFont="1" applyBorder="1" applyProtection="1">
      <alignment horizontal="general" vertical="center"/>
      <protection hidden="1"/>
    </xf>
    <xf numFmtId="0" fontId="4" fillId="0" borderId="11" xfId="0" applyFont="1" applyBorder="1" applyProtection="1">
      <alignment horizontal="center" vertical="center"/>
      <protection hidden="1"/>
    </xf>
    <xf numFmtId="0" fontId="4" fillId="0" borderId="28" xfId="0" applyFont="1" applyBorder="1" applyProtection="1">
      <alignment horizontal="center" vertical="center"/>
      <protection hidden="1"/>
    </xf>
    <xf numFmtId="2" fontId="4" fillId="0" borderId="28" xfId="0" applyNumberFormat="1" applyFont="1" applyBorder="1" applyProtection="1">
      <alignment horizontal="center" vertical="center"/>
      <protection hidden="1"/>
    </xf>
    <xf numFmtId="0" fontId="6" fillId="0" borderId="18" xfId="0" applyFont="1" applyBorder="1" applyProtection="1">
      <alignment horizontal="center" vertical="center"/>
      <protection hidden="1"/>
    </xf>
    <xf numFmtId="2" fontId="29" fillId="2" borderId="2" xfId="0" applyNumberFormat="1" applyFont="1" applyFill="1" applyBorder="1" applyProtection="1">
      <alignment horizontal="center" vertical="center"/>
      <protection locked="0"/>
    </xf>
    <xf numFmtId="0" fontId="6" fillId="0" borderId="1" xfId="0" applyFont="1" applyBorder="1" applyProtection="1">
      <alignment horizontal="center" vertical="center"/>
      <protection hidden="1"/>
    </xf>
    <xf numFmtId="0" fontId="4" fillId="0" borderId="1" xfId="0" applyFont="1" applyBorder="1" applyProtection="1">
      <alignment horizontal="center" vertical="center"/>
      <protection hidden="1"/>
    </xf>
    <xf numFmtId="0" fontId="8" fillId="0" borderId="0" xfId="0" applyFont="1">
      <alignment horizontal="right" vertical="center"/>
      <protection hidden="1"/>
    </xf>
    <xf numFmtId="0" fontId="8" fillId="0" borderId="0" xfId="0" applyFont="1">
      <alignment horizontal="general" vertical="center"/>
      <protection hidden="1"/>
    </xf>
    <xf numFmtId="10" fontId="8" fillId="0" borderId="0" xfId="0" applyNumberFormat="1" applyFont="1">
      <alignment horizontal="general" vertical="center"/>
      <protection hidden="1"/>
    </xf>
    <xf numFmtId="167" fontId="8" fillId="0" borderId="0" xfId="0" applyNumberFormat="1" applyFont="1">
      <alignment horizontal="general" vertical="center"/>
      <protection hidden="1"/>
    </xf>
    <xf numFmtId="164" fontId="4" fillId="0" borderId="0" xfId="0" applyNumberFormat="1" applyFont="1">
      <alignment horizontal="general" vertical="center"/>
      <protection hidden="1"/>
    </xf>
    <xf numFmtId="169" fontId="4" fillId="0" borderId="1" xfId="0" applyNumberFormat="1" applyFont="1" applyBorder="1" applyProtection="1">
      <alignment horizontal="center" vertical="center"/>
      <protection hidden="1"/>
    </xf>
    <xf numFmtId="0" fontId="29" fillId="2" borderId="1" xfId="0" applyFont="1" applyFill="1" applyBorder="1" applyProtection="1">
      <alignment horizontal="general" vertical="center"/>
      <protection locked="0"/>
    </xf>
    <xf numFmtId="0" fontId="6" fillId="0" borderId="1" xfId="0" applyFont="1" applyBorder="1" applyProtection="1">
      <alignment horizontal="general" vertical="center"/>
      <protection hidden="1"/>
    </xf>
    <xf numFmtId="0" fontId="4" fillId="0" borderId="1" xfId="0" applyFont="1" applyBorder="1" applyProtection="1">
      <alignment horizontal="center" vertical="center" wrapText="1"/>
      <protection hidden="1"/>
    </xf>
    <xf numFmtId="0" fontId="5" fillId="2" borderId="2" xfId="0" applyFont="1" applyFill="1" applyBorder="1" applyProtection="1">
      <alignment horizontal="general" vertical="center"/>
      <protection locked="0"/>
    </xf>
    <xf numFmtId="164" fontId="4" fillId="0" borderId="1" xfId="0" applyNumberFormat="1" applyFont="1" applyBorder="1" applyProtection="1">
      <alignment horizontal="general" vertical="center"/>
      <protection hidden="1"/>
    </xf>
    <xf numFmtId="58" fontId="4" fillId="0" borderId="1" xfId="0" applyNumberFormat="1" applyFont="1" applyBorder="1" applyProtection="1">
      <alignment horizontal="center" vertical="center"/>
      <protection hidden="1"/>
    </xf>
    <xf numFmtId="0" fontId="5" fillId="2" borderId="1" xfId="0" applyFont="1" applyFill="1" applyBorder="1" applyProtection="1">
      <alignment horizontal="general" vertical="center"/>
      <protection locked="0"/>
    </xf>
    <xf numFmtId="165" fontId="4" fillId="0" borderId="1" xfId="0" applyNumberFormat="1" applyFont="1" applyBorder="1" applyProtection="1">
      <alignment horizontal="center" vertical="center"/>
      <protection hidden="1"/>
    </xf>
    <xf numFmtId="1" fontId="4" fillId="0" borderId="1" xfId="0" applyNumberFormat="1" applyFont="1" applyBorder="1" applyProtection="1">
      <alignment horizontal="center" vertical="center"/>
      <protection hidden="1"/>
    </xf>
    <xf numFmtId="2" fontId="6" fillId="17" borderId="1" xfId="0" applyNumberFormat="1" applyFont="1" applyFill="1" applyBorder="1" applyProtection="1">
      <alignment horizontal="center" vertical="center"/>
      <protection hidden="1"/>
    </xf>
    <xf numFmtId="9" fontId="4" fillId="0" borderId="1" xfId="0" applyNumberFormat="1" applyFont="1" applyBorder="1" applyProtection="1">
      <alignment horizontal="center" vertical="center"/>
      <protection hidden="1"/>
    </xf>
    <xf numFmtId="164" fontId="4" fillId="0" borderId="1" xfId="0" applyNumberFormat="1" applyFont="1" applyBorder="1" applyProtection="1">
      <alignment horizontal="center" vertical="center" wrapText="1"/>
      <protection hidden="1"/>
    </xf>
    <xf numFmtId="10" fontId="4" fillId="0" borderId="1" xfId="0" applyNumberFormat="1" applyFont="1" applyBorder="1" applyProtection="1">
      <alignment horizontal="center" vertical="center"/>
      <protection hidden="1"/>
    </xf>
    <xf numFmtId="165" fontId="4" fillId="0" borderId="1" xfId="0" applyNumberFormat="1" applyFont="1" applyBorder="1" applyProtection="1">
      <alignment horizontal="general" vertical="center"/>
      <protection hidden="1"/>
    </xf>
    <xf numFmtId="2" fontId="4" fillId="17" borderId="1" xfId="0" applyNumberFormat="1" applyFont="1" applyFill="1" applyBorder="1" applyProtection="1">
      <alignment horizontal="center" vertical="center"/>
      <protection hidden="1"/>
    </xf>
    <xf numFmtId="166" fontId="4" fillId="0" borderId="1" xfId="0" applyNumberFormat="1" applyFont="1" applyBorder="1" applyProtection="1">
      <alignment horizontal="center" vertical="center"/>
      <protection hidden="1"/>
    </xf>
    <xf numFmtId="168" fontId="4" fillId="0" borderId="1" xfId="0" applyNumberFormat="1" applyFont="1" applyBorder="1" applyProtection="1">
      <alignment horizontal="center" vertical="center"/>
      <protection hidden="1"/>
    </xf>
    <xf numFmtId="170" fontId="4" fillId="0" borderId="1" xfId="0" applyNumberFormat="1" applyFont="1" applyBorder="1" applyProtection="1">
      <alignment horizontal="center" vertical="center"/>
      <protection hidden="1"/>
    </xf>
    <xf numFmtId="170" fontId="4" fillId="0" borderId="1" xfId="0" applyNumberFormat="1" applyFont="1" applyBorder="1" applyProtection="1">
      <alignment horizontal="center" vertical="center"/>
      <protection hidden="1"/>
    </xf>
    <xf numFmtId="0" fontId="7" fillId="7" borderId="1" xfId="0" applyFont="1" applyFill="1" applyBorder="1" applyProtection="1">
      <alignment horizontal="general" vertical="center" wrapText="1"/>
    </xf>
    <xf numFmtId="0" fontId="8" fillId="7" borderId="1" xfId="0" applyFont="1" applyFill="1" applyBorder="1" applyProtection="1">
      <alignment horizontal="center" vertical="center" wrapText="1"/>
    </xf>
    <xf numFmtId="0" fontId="7" fillId="11" borderId="1" xfId="0" applyFont="1" applyFill="1" applyBorder="1" applyProtection="1">
      <alignment horizontal="center" vertical="center" wrapText="1"/>
    </xf>
    <xf numFmtId="173" fontId="7" fillId="11" borderId="1" xfId="0" applyNumberFormat="1" applyFont="1" applyFill="1" applyBorder="1" applyProtection="1">
      <alignment horizontal="center" vertical="center" wrapText="1"/>
    </xf>
    <xf numFmtId="10" fontId="7" fillId="11" borderId="1" xfId="0" applyNumberFormat="1" applyFont="1" applyFill="1" applyBorder="1" applyProtection="1">
      <alignment horizontal="center" vertical="center" wrapText="1"/>
    </xf>
    <xf numFmtId="0" fontId="7" fillId="0" borderId="1" xfId="0" applyFont="1" applyBorder="1" applyProtection="1">
      <alignment horizontal="center" vertical="center" wrapText="1"/>
    </xf>
    <xf numFmtId="173" fontId="7" fillId="0" borderId="1" xfId="0" applyNumberFormat="1" applyFont="1" applyBorder="1" applyProtection="1">
      <alignment horizontal="center" vertical="center" wrapText="1"/>
    </xf>
    <xf numFmtId="10" fontId="7" fillId="0" borderId="1" xfId="0" applyNumberFormat="1" applyFont="1" applyBorder="1" applyProtection="1">
      <alignment horizontal="center" vertical="center" wrapText="1"/>
    </xf>
    <xf numFmtId="0" fontId="8" fillId="0" borderId="1" xfId="0" applyFont="1" applyBorder="1" applyProtection="1">
      <alignment horizontal="center" vertical="center" wrapText="1"/>
    </xf>
    <xf numFmtId="173" fontId="8" fillId="0" borderId="1" xfId="0" applyNumberFormat="1" applyFont="1" applyBorder="1" applyProtection="1">
      <alignment horizontal="center" vertical="center" wrapText="1"/>
    </xf>
    <xf numFmtId="10" fontId="8" fillId="0" borderId="1" xfId="0" applyNumberFormat="1" applyFont="1" applyBorder="1" applyProtection="1">
      <alignment horizontal="center" vertical="center" wrapText="1"/>
    </xf>
    <xf numFmtId="173" fontId="8" fillId="11" borderId="1" xfId="0" applyNumberFormat="1" applyFont="1" applyFill="1" applyBorder="1" applyProtection="1">
      <alignment horizontal="center" vertical="center" wrapText="1"/>
    </xf>
    <xf numFmtId="0" fontId="8" fillId="0" borderId="1" xfId="0" applyFont="1" applyBorder="1" applyProtection="1">
      <alignment horizontal="center" vertical="center" wrapText="1"/>
    </xf>
    <xf numFmtId="0" fontId="8" fillId="0" borderId="1" xfId="0" applyFont="1" applyBorder="1" applyProtection="1">
      <alignment horizontal="center" vertical="bottom" wrapText="1"/>
    </xf>
    <xf numFmtId="0" fontId="8" fillId="11" borderId="1" xfId="0" applyFont="1" applyFill="1" applyBorder="1" applyProtection="1">
      <alignment horizontal="center" vertical="center" wrapText="1"/>
    </xf>
    <xf numFmtId="0" fontId="6" fillId="0" borderId="1" xfId="0" applyFont="1" applyBorder="1" applyProtection="1">
      <alignment horizontal="general" vertical="center"/>
    </xf>
    <xf numFmtId="0" fontId="15" fillId="0" borderId="1" xfId="0" applyFont="1" applyBorder="1" applyProtection="1">
      <alignment horizontal="center" vertical="center" wrapText="1"/>
    </xf>
    <xf numFmtId="0" fontId="18" fillId="7" borderId="1" xfId="0" applyFont="1" applyFill="1" applyBorder="1" applyProtection="1">
      <alignment horizontal="center" vertical="center" wrapText="1"/>
    </xf>
    <xf numFmtId="0" fontId="18" fillId="18" borderId="1" xfId="0" applyFont="1" applyFill="1" applyBorder="1" applyProtection="1">
      <alignment horizontal="center" vertical="center" wrapText="1"/>
    </xf>
    <xf numFmtId="0" fontId="30" fillId="0" borderId="1" xfId="0" applyFont="1" applyBorder="1" applyProtection="1">
      <alignment horizontal="center" vertical="center"/>
    </xf>
    <xf numFmtId="0" fontId="18" fillId="0" borderId="1" xfId="0" applyFont="1" applyBorder="1" applyProtection="1">
      <alignment horizontal="center" vertical="center" wrapText="1"/>
    </xf>
    <xf numFmtId="0" fontId="31" fillId="0" borderId="1" xfId="0" applyFont="1" applyBorder="1" applyProtection="1">
      <alignment horizontal="center" vertical="center" wrapText="1"/>
    </xf>
    <xf numFmtId="0" fontId="32" fillId="0" borderId="1" xfId="0" applyFont="1" applyBorder="1" applyProtection="1">
      <alignment horizontal="center" vertical="center" wrapText="1"/>
    </xf>
    <xf numFmtId="0" fontId="33" fillId="0" borderId="1" xfId="0" applyFont="1" applyBorder="1" applyProtection="1">
      <alignment horizontal="center" vertical="center"/>
    </xf>
    <xf numFmtId="0" fontId="34" fillId="0" borderId="1" xfId="0" applyFont="1" applyBorder="1" applyProtection="1">
      <alignment horizontal="center" vertical="center" wrapText="1"/>
    </xf>
    <xf numFmtId="173" fontId="18" fillId="0" borderId="1" xfId="0" applyNumberFormat="1" applyFont="1" applyBorder="1" applyProtection="1">
      <alignment horizontal="center" vertical="center" wrapText="1"/>
    </xf>
    <xf numFmtId="173" fontId="15" fillId="0" borderId="1" xfId="0" applyNumberFormat="1" applyFont="1" applyBorder="1" applyProtection="1">
      <alignment horizontal="center" vertical="center" wrapText="1"/>
    </xf>
    <xf numFmtId="9" fontId="15" fillId="0" borderId="1" xfId="0" applyNumberFormat="1" applyFont="1" applyBorder="1" applyProtection="1">
      <alignment horizontal="center" vertical="center" wrapText="1"/>
    </xf>
    <xf numFmtId="0" fontId="17" fillId="0" borderId="1" xfId="0" applyFont="1" applyBorder="1" applyProtection="1">
      <alignment horizontal="left" vertical="center"/>
    </xf>
    <xf numFmtId="0" fontId="17" fillId="0" borderId="1" xfId="0" applyFont="1" applyBorder="1" applyProtection="1">
      <alignment horizontal="general" vertical="center"/>
    </xf>
    <xf numFmtId="0" fontId="30" fillId="0" borderId="0" xfId="0" applyFont="1">
      <alignment horizontal="center" vertical="center"/>
    </xf>
    <xf numFmtId="0" fontId="33" fillId="0" borderId="0" xfId="0" applyFont="1">
      <alignment horizontal="center" vertical="center"/>
    </xf>
    <xf numFmtId="0" fontId="30" fillId="0" borderId="7" xfId="0" applyFont="1" applyBorder="1" applyProtection="1">
      <alignment horizontal="center" vertical="center"/>
    </xf>
    <xf numFmtId="0" fontId="30" fillId="0" borderId="7" xfId="0" applyFont="1" applyBorder="1" applyProtection="1">
      <alignment horizontal="center" vertical="center" wrapText="1"/>
    </xf>
    <xf numFmtId="0" fontId="16" fillId="0" borderId="0" xfId="0" applyFont="1">
      <alignment horizontal="center" vertical="center"/>
    </xf>
    <xf numFmtId="0" fontId="35" fillId="0" borderId="7" xfId="0" applyFont="1" applyBorder="1" applyProtection="1">
      <alignment horizontal="center" vertical="center"/>
    </xf>
    <xf numFmtId="0" fontId="16" fillId="0" borderId="1" xfId="0" applyFont="1" applyBorder="1" applyProtection="1">
      <alignment horizontal="general" vertical="center"/>
    </xf>
    <xf numFmtId="0" fontId="35" fillId="0" borderId="1" xfId="0" applyFont="1" applyBorder="1" applyProtection="1">
      <alignment horizontal="center" vertical="center"/>
    </xf>
    <xf numFmtId="0" fontId="30" fillId="9" borderId="18" xfId="0" applyFont="1" applyFill="1" applyBorder="1" applyProtection="1">
      <alignment horizontal="center" vertical="center"/>
    </xf>
    <xf numFmtId="0" fontId="4" fillId="9" borderId="1" xfId="0" applyFont="1" applyFill="1" applyBorder="1" applyProtection="1">
      <alignment horizontal="center" vertical="center"/>
    </xf>
    <xf numFmtId="0" fontId="36" fillId="0" borderId="1" xfId="0" applyFont="1" applyBorder="1" applyProtection="1">
      <alignment horizontal="center" vertical="center"/>
    </xf>
    <xf numFmtId="0" fontId="16" fillId="9" borderId="1" xfId="0" applyFont="1" applyFill="1" applyBorder="1" applyProtection="1">
      <alignment horizontal="center" vertical="center"/>
    </xf>
    <xf numFmtId="173" fontId="16" fillId="0" borderId="1" xfId="0" applyNumberFormat="1" applyFont="1" applyBorder="1" applyProtection="1">
      <alignment horizontal="center" vertical="center"/>
    </xf>
    <xf numFmtId="173" fontId="16" fillId="9" borderId="1" xfId="0" applyNumberFormat="1" applyFont="1" applyFill="1" applyBorder="1" applyProtection="1">
      <alignment horizontal="center" vertical="center"/>
    </xf>
    <xf numFmtId="173" fontId="16" fillId="0" borderId="10" xfId="0" applyNumberFormat="1" applyFont="1" applyBorder="1" applyProtection="1">
      <alignment horizontal="center" vertical="center"/>
    </xf>
    <xf numFmtId="0" fontId="16" fillId="0" borderId="10" xfId="0" applyFont="1" applyBorder="1" applyProtection="1">
      <alignment horizontal="general" vertical="center"/>
    </xf>
    <xf numFmtId="0" fontId="30" fillId="9" borderId="10" xfId="0" applyFont="1" applyFill="1" applyBorder="1" applyProtection="1">
      <alignment horizontal="center" vertical="center"/>
    </xf>
    <xf numFmtId="9" fontId="16" fillId="0" borderId="1" xfId="0" applyNumberFormat="1" applyFont="1" applyBorder="1" applyProtection="1">
      <alignment horizontal="center" vertical="center"/>
    </xf>
    <xf numFmtId="0" fontId="37" fillId="0" borderId="1" xfId="0" applyFont="1" applyBorder="1" applyProtection="1">
      <alignment horizontal="center" vertical="center" wrapText="1"/>
    </xf>
    <xf numFmtId="173" fontId="16" fillId="0" borderId="1" xfId="0" applyNumberFormat="1" applyFont="1" applyBorder="1" applyProtection="1">
      <alignment horizontal="general" vertical="center"/>
    </xf>
    <xf numFmtId="173" fontId="30" fillId="0" borderId="1" xfId="0" applyNumberFormat="1" applyFont="1" applyBorder="1" applyProtection="1">
      <alignment horizontal="center" vertical="center"/>
    </xf>
    <xf numFmtId="0" fontId="15" fillId="0" borderId="1" xfId="0" applyFont="1" applyBorder="1" applyProtection="1">
      <alignment horizontal="center" vertical="center"/>
    </xf>
    <xf numFmtId="0" fontId="15" fillId="0" borderId="1" xfId="0" applyFont="1" applyBorder="1" applyProtection="1">
      <alignment horizontal="center" vertical="center"/>
    </xf>
    <xf numFmtId="0" fontId="35" fillId="0" borderId="1" xfId="0" applyFont="1" applyBorder="1" applyProtection="1">
      <alignment horizontal="general" vertical="center" wrapText="1"/>
    </xf>
    <xf numFmtId="0" fontId="18" fillId="0" borderId="1" xfId="0" applyFont="1" applyBorder="1" applyProtection="1">
      <alignment horizontal="center" vertical="center"/>
    </xf>
    <xf numFmtId="9" fontId="6" fillId="0" borderId="1" xfId="0" applyNumberFormat="1" applyFont="1" applyBorder="1" applyProtection="1">
      <alignment horizontal="center" vertical="center"/>
    </xf>
    <xf numFmtId="0" fontId="18" fillId="0" borderId="1" xfId="0" applyFont="1" applyBorder="1" applyProtection="1">
      <alignment horizontal="center" vertical="center"/>
    </xf>
    <xf numFmtId="0" fontId="15" fillId="0" borderId="1" xfId="0" applyFont="1" applyBorder="1" applyProtection="1">
      <alignment horizontal="center" vertical="center" wrapText="1"/>
    </xf>
    <xf numFmtId="0" fontId="38" fillId="0" borderId="0" xfId="0" applyFont="1">
      <alignment horizontal="general" vertical="center"/>
    </xf>
    <xf numFmtId="0" fontId="39" fillId="0" borderId="10" xfId="0" applyFont="1" applyBorder="1" applyProtection="1">
      <alignment horizontal="center" vertical="center"/>
    </xf>
    <xf numFmtId="9" fontId="39" fillId="0" borderId="7" xfId="0" applyNumberFormat="1" applyFont="1" applyBorder="1" applyProtection="1">
      <alignment horizontal="center" vertical="center"/>
    </xf>
    <xf numFmtId="173" fontId="39" fillId="0" borderId="1" xfId="0" applyNumberFormat="1" applyFont="1" applyBorder="1" applyProtection="1">
      <alignment horizontal="center" vertical="center"/>
    </xf>
    <xf numFmtId="9" fontId="40" fillId="7" borderId="1" xfId="0" applyNumberFormat="1" applyFont="1" applyFill="1" applyBorder="1" applyProtection="1">
      <alignment horizontal="center" vertical="center" wrapText="1"/>
    </xf>
    <xf numFmtId="9" fontId="40" fillId="7" borderId="1" xfId="0" applyNumberFormat="1" applyFont="1" applyFill="1" applyBorder="1" applyProtection="1">
      <alignment horizontal="center" vertical="center"/>
    </xf>
    <xf numFmtId="0" fontId="6" fillId="0" borderId="0" xfId="0" applyFont="1">
      <alignment horizontal="center" vertical="center"/>
    </xf>
    <xf numFmtId="0" fontId="41" fillId="10" borderId="10" xfId="0" applyFont="1" applyFill="1" applyBorder="1" applyProtection="1">
      <alignment horizontal="center" vertical="center"/>
    </xf>
    <xf numFmtId="0" fontId="41" fillId="10" borderId="7" xfId="0" applyFont="1" applyFill="1" applyBorder="1" applyProtection="1">
      <alignment horizontal="center" vertical="center"/>
    </xf>
    <xf numFmtId="0" fontId="16" fillId="0" borderId="0" xfId="0" applyFont="1">
      <alignment horizontal="center" vertical="center" wrapText="1"/>
    </xf>
    <xf numFmtId="0" fontId="30" fillId="0" borderId="1" xfId="0" applyFont="1" applyBorder="1" applyProtection="1">
      <alignment horizontal="center" vertical="center" wrapText="1"/>
    </xf>
    <xf numFmtId="0" fontId="30" fillId="0" borderId="0" xfId="0" applyFont="1">
      <alignment horizontal="center" vertical="center"/>
    </xf>
    <xf numFmtId="0" fontId="30" fillId="11" borderId="25" xfId="0" applyFont="1" applyFill="1" applyBorder="1" applyProtection="1">
      <alignment horizontal="center" vertical="center"/>
    </xf>
    <xf numFmtId="0" fontId="30" fillId="11" borderId="0" xfId="0" applyFont="1" applyFill="1">
      <alignment horizontal="center" vertical="center"/>
    </xf>
    <xf numFmtId="0" fontId="4" fillId="0" borderId="0" xfId="0" applyFont="1">
      <alignment horizontal="center" vertical="center"/>
    </xf>
    <xf numFmtId="0" fontId="4" fillId="0" borderId="1" xfId="0" applyFont="1" applyBorder="1" applyProtection="1">
      <alignment horizontal="center" vertical="center"/>
    </xf>
    <xf numFmtId="0" fontId="4" fillId="0" borderId="0" xfId="0" applyFont="1">
      <alignment horizontal="center" vertical="center" wrapText="1"/>
    </xf>
    <xf numFmtId="0" fontId="18" fillId="18" borderId="1" xfId="0" applyFont="1" applyFill="1" applyBorder="1" applyProtection="1">
      <alignment horizontal="center" vertical="center" wrapText="1"/>
    </xf>
    <xf numFmtId="0" fontId="4" fillId="0" borderId="18" xfId="0" applyFont="1" applyBorder="1" applyProtection="1">
      <alignment horizontal="center" vertical="center"/>
    </xf>
    <xf numFmtId="0" fontId="4" fillId="0" borderId="29" xfId="0" applyFont="1" applyBorder="1" applyProtection="1">
      <alignment horizontal="center" vertical="center"/>
    </xf>
    <xf numFmtId="176" fontId="40" fillId="11" borderId="1" xfId="0" applyNumberFormat="1" applyFont="1" applyFill="1" applyBorder="1" applyProtection="1">
      <alignment horizontal="center" vertical="center" wrapText="1"/>
    </xf>
    <xf numFmtId="176" fontId="7" fillId="11" borderId="1" xfId="0" applyNumberFormat="1" applyFont="1" applyFill="1" applyBorder="1" applyProtection="1">
      <alignment horizontal="center" vertical="center" wrapText="1"/>
    </xf>
    <xf numFmtId="0" fontId="8" fillId="0" borderId="1" xfId="0" applyFont="1" applyBorder="1" applyProtection="1">
      <alignment horizontal="center" vertical="center" wrapText="1"/>
    </xf>
    <xf numFmtId="0" fontId="7" fillId="7" borderId="10" xfId="0" applyFont="1" applyFill="1" applyBorder="1" applyProtection="1">
      <alignment horizontal="center" vertical="center" wrapText="1"/>
    </xf>
    <xf numFmtId="0" fontId="7" fillId="7" borderId="7" xfId="0" applyFont="1" applyFill="1" applyBorder="1" applyProtection="1">
      <alignment horizontal="center" vertical="center" wrapText="1"/>
    </xf>
    <xf numFmtId="0" fontId="6" fillId="7" borderId="1" xfId="0" applyFont="1" applyFill="1" applyBorder="1" applyProtection="1">
      <alignment horizontal="center" vertical="center"/>
    </xf>
    <xf numFmtId="177" fontId="8" fillId="0" borderId="1" xfId="0" applyNumberFormat="1" applyFont="1" applyBorder="1" applyProtection="1">
      <alignment horizontal="center" vertical="center" wrapText="1"/>
    </xf>
    <xf numFmtId="0" fontId="8" fillId="11" borderId="1" xfId="0" applyFont="1" applyFill="1" applyBorder="1" applyProtection="1">
      <alignment horizontal="center" vertical="center" wrapText="1"/>
    </xf>
    <xf numFmtId="178" fontId="8" fillId="0" borderId="1" xfId="0" applyNumberFormat="1" applyFont="1" applyBorder="1" applyProtection="1">
      <alignment horizontal="center" vertical="center" wrapText="1"/>
    </xf>
    <xf numFmtId="10" fontId="8" fillId="0" borderId="1" xfId="0" applyNumberFormat="1" applyFont="1" applyBorder="1" applyProtection="1">
      <alignment horizontal="center" vertical="center" wrapText="1"/>
    </xf>
    <xf numFmtId="0" fontId="7" fillId="7" borderId="18" xfId="0" applyFont="1" applyFill="1" applyBorder="1" applyProtection="1">
      <alignment horizontal="center" vertical="center" wrapText="1"/>
    </xf>
    <xf numFmtId="0" fontId="7" fillId="7" borderId="29" xfId="0" applyFont="1" applyFill="1" applyBorder="1" applyProtection="1">
      <alignment horizontal="center" vertical="center" wrapText="1"/>
    </xf>
    <xf numFmtId="0" fontId="7" fillId="7" borderId="27" xfId="0" applyFont="1" applyFill="1" applyBorder="1" applyProtection="1">
      <alignment horizontal="center" vertical="center" wrapText="1"/>
    </xf>
    <xf numFmtId="0" fontId="6" fillId="0" borderId="10" xfId="0" applyFont="1" applyBorder="1" applyProtection="1">
      <alignment horizontal="center" vertical="center"/>
      <protection hidden="1"/>
    </xf>
    <xf numFmtId="0" fontId="6" fillId="0" borderId="7" xfId="0" applyFont="1" applyBorder="1" applyProtection="1">
      <alignment horizontal="center" vertical="center"/>
      <protection hidden="1"/>
    </xf>
    <xf numFmtId="0" fontId="4" fillId="0" borderId="0" xfId="0" applyFont="1">
      <alignment horizontal="center" vertical="center" wrapText="1"/>
      <protection hidden="1"/>
    </xf>
    <xf numFmtId="0" fontId="6" fillId="0" borderId="11" xfId="0" applyFont="1" applyBorder="1" applyProtection="1">
      <alignment horizontal="center" vertical="center"/>
      <protection hidden="1"/>
    </xf>
    <xf numFmtId="0" fontId="6" fillId="0" borderId="28" xfId="0" applyFont="1" applyBorder="1" applyProtection="1">
      <alignment horizontal="center" vertical="center"/>
      <protection hidden="1"/>
    </xf>
    <xf numFmtId="0" fontId="6" fillId="0" borderId="30" xfId="0" applyFont="1" applyBorder="1" applyProtection="1">
      <alignment horizontal="center" vertical="center"/>
      <protection hidden="1"/>
    </xf>
    <xf numFmtId="0" fontId="6" fillId="0" borderId="31" xfId="0" applyFont="1" applyBorder="1" applyProtection="1">
      <alignment horizontal="center" vertical="center"/>
      <protection hidden="1"/>
    </xf>
    <xf numFmtId="0" fontId="6" fillId="0" borderId="32" xfId="0" applyFont="1" applyBorder="1" applyProtection="1">
      <alignment horizontal="center" vertical="center"/>
      <protection hidden="1"/>
    </xf>
    <xf numFmtId="0" fontId="6" fillId="0" borderId="33" xfId="0" applyFont="1" applyBorder="1" applyProtection="1">
      <alignment horizontal="center" vertical="center"/>
      <protection hidden="1"/>
    </xf>
    <xf numFmtId="0" fontId="6" fillId="0" borderId="1" xfId="0" applyFont="1" applyBorder="1" applyProtection="1">
      <alignment horizontal="center" vertical="center"/>
      <protection hidden="1"/>
    </xf>
    <xf numFmtId="0" fontId="4" fillId="0" borderId="11" xfId="0" applyFont="1" applyBorder="1" applyProtection="1">
      <alignment horizontal="center" vertical="center" wrapText="1"/>
      <protection hidden="1"/>
    </xf>
    <xf numFmtId="0" fontId="4" fillId="0" borderId="28" xfId="0" applyFont="1" applyBorder="1" applyProtection="1">
      <alignment horizontal="center" vertical="center" wrapText="1"/>
      <protection hidden="1"/>
    </xf>
    <xf numFmtId="0" fontId="4" fillId="0" borderId="30" xfId="0" applyFont="1" applyBorder="1" applyProtection="1">
      <alignment horizontal="center" vertical="center" wrapText="1"/>
      <protection hidden="1"/>
    </xf>
    <xf numFmtId="0" fontId="4" fillId="0" borderId="31" xfId="0" applyFont="1" applyBorder="1" applyProtection="1">
      <alignment horizontal="center" vertical="center" wrapText="1"/>
      <protection hidden="1"/>
    </xf>
    <xf numFmtId="0" fontId="4" fillId="0" borderId="32" xfId="0" applyFont="1" applyBorder="1" applyProtection="1">
      <alignment horizontal="center" vertical="center" wrapText="1"/>
      <protection hidden="1"/>
    </xf>
    <xf numFmtId="0" fontId="4" fillId="0" borderId="33" xfId="0" applyFont="1" applyBorder="1" applyProtection="1">
      <alignment horizontal="center" vertical="center" wrapText="1"/>
      <protection hidden="1"/>
    </xf>
    <xf numFmtId="0" fontId="6" fillId="0" borderId="25" xfId="0" applyFont="1" applyBorder="1" applyProtection="1">
      <alignment horizontal="center" vertical="center"/>
      <protection hidden="1"/>
    </xf>
    <xf numFmtId="0" fontId="6" fillId="0" borderId="0" xfId="0" applyFont="1">
      <alignment horizontal="center" vertical="center"/>
      <protection hidden="1"/>
    </xf>
    <xf numFmtId="0" fontId="6" fillId="0" borderId="26" xfId="0" applyFont="1" applyBorder="1" applyProtection="1">
      <alignment horizontal="center" vertical="center"/>
      <protection hidden="1"/>
    </xf>
    <xf numFmtId="0" fontId="6" fillId="0" borderId="1" xfId="0" applyFont="1" applyBorder="1" applyProtection="1">
      <alignment horizontal="center" vertical="center" wrapText="1"/>
      <protection hidden="1"/>
    </xf>
    <xf numFmtId="0" fontId="4" fillId="0" borderId="18" xfId="0" applyFont="1" applyBorder="1" applyProtection="1">
      <alignment horizontal="left" vertical="center"/>
      <protection hidden="1"/>
    </xf>
    <xf numFmtId="0" fontId="4" fillId="0" borderId="29" xfId="0" applyFont="1" applyBorder="1" applyProtection="1">
      <alignment horizontal="left" vertical="center"/>
      <protection hidden="1"/>
    </xf>
    <xf numFmtId="0" fontId="4" fillId="0" borderId="27" xfId="0" applyFont="1" applyBorder="1" applyProtection="1">
      <alignment horizontal="left" vertical="center"/>
      <protection hidden="1"/>
    </xf>
    <xf numFmtId="0" fontId="6" fillId="19" borderId="1" xfId="0" applyFont="1" applyFill="1" applyBorder="1" applyProtection="1">
      <alignment horizontal="center" vertical="center"/>
      <protection hidden="1"/>
    </xf>
    <xf numFmtId="0" fontId="4" fillId="0" borderId="1" xfId="0" applyFont="1" applyBorder="1" applyProtection="1">
      <alignment horizontal="left" vertical="center"/>
      <protection hidden="1"/>
    </xf>
    <xf numFmtId="0" fontId="6" fillId="0" borderId="3" xfId="0" applyFont="1" applyBorder="1" applyProtection="1">
      <alignment horizontal="center" vertical="center"/>
      <protection hidden="1"/>
    </xf>
    <xf numFmtId="0" fontId="4" fillId="0" borderId="1" xfId="0" applyFont="1" applyBorder="1" applyProtection="1">
      <alignment horizontal="center" vertical="center"/>
      <protection hidden="1"/>
    </xf>
    <xf numFmtId="0" fontId="4" fillId="0" borderId="10" xfId="0" applyFont="1" applyBorder="1" applyProtection="1">
      <alignment horizontal="center" vertical="center" wrapText="1"/>
      <protection hidden="1"/>
    </xf>
    <xf numFmtId="0" fontId="4" fillId="0" borderId="7" xfId="0" applyFont="1" applyBorder="1" applyProtection="1">
      <alignment horizontal="center" vertical="center"/>
      <protection hidden="1"/>
    </xf>
    <xf numFmtId="0" fontId="6" fillId="0" borderId="10" xfId="0" applyFont="1" applyBorder="1" applyProtection="1">
      <alignment horizontal="center" vertical="center" wrapText="1"/>
      <protection hidden="1"/>
    </xf>
    <xf numFmtId="0" fontId="6" fillId="0" borderId="7" xfId="0" applyFont="1" applyBorder="1" applyProtection="1">
      <alignment horizontal="center" vertical="center" wrapText="1"/>
      <protection hidden="1"/>
    </xf>
    <xf numFmtId="0" fontId="6" fillId="20" borderId="18" xfId="0" applyFont="1" applyFill="1" applyBorder="1" applyProtection="1">
      <alignment horizontal="center" vertical="center"/>
      <protection hidden="1"/>
    </xf>
    <xf numFmtId="0" fontId="6" fillId="20" borderId="29" xfId="0" applyFont="1" applyFill="1" applyBorder="1" applyProtection="1">
      <alignment horizontal="center" vertical="center"/>
      <protection hidden="1"/>
    </xf>
    <xf numFmtId="0" fontId="6" fillId="20" borderId="27" xfId="0" applyFont="1" applyFill="1" applyBorder="1" applyProtection="1">
      <alignment horizontal="center" vertical="center"/>
      <protection hidden="1"/>
    </xf>
    <xf numFmtId="0" fontId="6" fillId="19" borderId="18" xfId="0" applyFont="1" applyFill="1" applyBorder="1" applyProtection="1">
      <alignment horizontal="center" vertical="center"/>
      <protection hidden="1"/>
    </xf>
    <xf numFmtId="0" fontId="6" fillId="19" borderId="29" xfId="0" applyFont="1" applyFill="1" applyBorder="1" applyProtection="1">
      <alignment horizontal="center" vertical="center"/>
      <protection hidden="1"/>
    </xf>
    <xf numFmtId="0" fontId="6" fillId="19" borderId="27" xfId="0" applyFont="1" applyFill="1" applyBorder="1" applyProtection="1">
      <alignment horizontal="center" vertical="center"/>
      <protection hidden="1"/>
    </xf>
    <xf numFmtId="0" fontId="6" fillId="20" borderId="1" xfId="0" applyFont="1" applyFill="1" applyBorder="1" applyProtection="1">
      <alignment horizontal="center" vertical="center"/>
      <protection hidden="1"/>
    </xf>
    <xf numFmtId="0" fontId="4" fillId="0" borderId="1" xfId="0" applyFont="1" applyBorder="1" applyProtection="1">
      <alignment horizontal="left" vertical="center" wrapText="1"/>
      <protection hidden="1"/>
    </xf>
    <xf numFmtId="0" fontId="29" fillId="2" borderId="2" xfId="0" applyFont="1" applyFill="1" applyBorder="1" applyProtection="1">
      <alignment horizontal="center" vertical="center"/>
      <protection hidden="1"/>
    </xf>
    <xf numFmtId="2" fontId="29" fillId="2" borderId="2" xfId="0" applyNumberFormat="1" applyFont="1" applyFill="1" applyBorder="1" applyProtection="1">
      <alignment horizontal="center" vertical="center"/>
      <protection hidden="1"/>
    </xf>
    <xf numFmtId="2" fontId="4" fillId="0" borderId="1" xfId="0" applyNumberFormat="1" applyFont="1" applyBorder="1" applyProtection="1">
      <alignment horizontal="center" vertical="center"/>
      <protection hidden="1"/>
    </xf>
    <xf numFmtId="2" fontId="4" fillId="0" borderId="18" xfId="0" applyNumberFormat="1" applyFont="1" applyBorder="1" applyProtection="1">
      <alignment horizontal="center" vertical="center"/>
      <protection hidden="1"/>
    </xf>
    <xf numFmtId="2" fontId="4" fillId="0" borderId="29" xfId="0" applyNumberFormat="1" applyFont="1" applyBorder="1" applyProtection="1">
      <alignment horizontal="center" vertical="center"/>
      <protection hidden="1"/>
    </xf>
    <xf numFmtId="2" fontId="4" fillId="0" borderId="27" xfId="0" applyNumberFormat="1" applyFont="1" applyBorder="1" applyProtection="1">
      <alignment horizontal="center" vertical="center"/>
      <protection hidden="1"/>
    </xf>
    <xf numFmtId="0" fontId="8" fillId="0" borderId="0" xfId="0" applyFont="1">
      <alignment horizontal="center" vertical="center"/>
      <protection hidden="1"/>
    </xf>
    <xf numFmtId="167" fontId="8" fillId="0" borderId="0" xfId="0" applyNumberFormat="1" applyFont="1">
      <alignment horizontal="center" vertical="center"/>
      <protection hidden="1"/>
    </xf>
    <xf numFmtId="0" fontId="7" fillId="0" borderId="0" xfId="0" applyFont="1">
      <alignment horizontal="center" vertical="center"/>
      <protection hidden="1"/>
    </xf>
    <xf numFmtId="2" fontId="7" fillId="0" borderId="0" xfId="0" applyNumberFormat="1" applyFont="1">
      <alignment horizontal="center" vertical="center"/>
      <protection hidden="1"/>
    </xf>
    <xf numFmtId="0" fontId="6" fillId="0" borderId="32" xfId="0" applyFont="1" applyBorder="1" applyProtection="1">
      <alignment horizontal="right" vertical="center"/>
      <protection hidden="1"/>
    </xf>
    <xf numFmtId="0" fontId="6" fillId="0" borderId="1" xfId="0" applyFont="1" applyBorder="1" applyProtection="1">
      <alignment horizontal="center" vertical="center"/>
      <protection hidden="1"/>
    </xf>
    <xf numFmtId="0" fontId="6" fillId="20" borderId="32" xfId="0" applyFont="1" applyFill="1" applyBorder="1" applyProtection="1">
      <alignment horizontal="center" vertical="center"/>
    </xf>
    <xf numFmtId="173" fontId="23" fillId="7" borderId="18" xfId="0" applyNumberFormat="1" applyFont="1" applyFill="1" applyBorder="1" applyProtection="1">
      <alignment horizontal="center" vertical="center"/>
    </xf>
    <xf numFmtId="173" fontId="23" fillId="7" borderId="29" xfId="0" applyNumberFormat="1" applyFont="1" applyFill="1" applyBorder="1" applyProtection="1">
      <alignment horizontal="center" vertical="center"/>
    </xf>
    <xf numFmtId="173" fontId="23" fillId="7" borderId="27" xfId="0" applyNumberFormat="1" applyFont="1" applyFill="1" applyBorder="1" applyProtection="1">
      <alignment horizontal="center" vertical="center"/>
    </xf>
    <xf numFmtId="0" fontId="23" fillId="7" borderId="1" xfId="0" applyFont="1" applyFill="1" applyBorder="1" applyProtection="1">
      <alignment horizontal="center" vertical="center"/>
    </xf>
    <xf numFmtId="0" fontId="23" fillId="0" borderId="28" xfId="0" applyFont="1" applyBorder="1" applyProtection="1">
      <alignment horizontal="left" vertical="center" wrapText="1"/>
      <protection locked="0"/>
    </xf>
    <xf numFmtId="0" fontId="22" fillId="0" borderId="0" xfId="0" applyFont="1">
      <alignment horizontal="left" vertical="center" wrapText="1"/>
      <protection locked="0"/>
    </xf>
    <xf numFmtId="0" fontId="15" fillId="0" borderId="10" xfId="0" applyFont="1" applyBorder="1" applyProtection="1">
      <alignment horizontal="center" vertical="center"/>
    </xf>
    <xf numFmtId="0" fontId="15" fillId="0" borderId="7" xfId="0" applyFont="1" applyBorder="1" applyProtection="1">
      <alignment horizontal="center" vertical="center"/>
    </xf>
    <xf numFmtId="0" fontId="16" fillId="0" borderId="0" xfId="0" applyFont="1">
      <alignment horizontal="center" vertical="bottom" wrapText="1"/>
    </xf>
    <xf numFmtId="0" fontId="15" fillId="0" borderId="10" xfId="0" applyFont="1" applyBorder="1" applyProtection="1">
      <alignment horizontal="center" vertical="center" textRotation="255"/>
    </xf>
    <xf numFmtId="0" fontId="15" fillId="0" borderId="3" xfId="0" applyFont="1" applyBorder="1" applyProtection="1">
      <alignment horizontal="center" vertical="center" textRotation="255"/>
    </xf>
    <xf numFmtId="0" fontId="15" fillId="0" borderId="7" xfId="0" applyFont="1" applyBorder="1" applyProtection="1">
      <alignment horizontal="center" vertical="center" textRotation="255"/>
    </xf>
    <xf numFmtId="0" fontId="18" fillId="7" borderId="10" xfId="0" applyFont="1" applyFill="1" applyBorder="1" applyProtection="1">
      <alignment horizontal="center" vertical="center" wrapText="1"/>
    </xf>
    <xf numFmtId="0" fontId="18" fillId="7" borderId="7" xfId="0" applyFont="1" applyFill="1" applyBorder="1" applyProtection="1">
      <alignment horizontal="center" vertical="center" wrapText="1"/>
    </xf>
    <xf numFmtId="0" fontId="35" fillId="7" borderId="10" xfId="0" applyFont="1" applyFill="1" applyBorder="1" applyProtection="1">
      <alignment horizontal="center" vertical="center" wrapText="1"/>
    </xf>
    <xf numFmtId="0" fontId="35" fillId="7" borderId="7" xfId="0" applyFont="1" applyFill="1" applyBorder="1" applyProtection="1">
      <alignment horizontal="center" vertical="center" wrapText="1"/>
    </xf>
    <xf numFmtId="0" fontId="18" fillId="7" borderId="10" xfId="0" applyFont="1" applyFill="1" applyBorder="1" applyProtection="1">
      <alignment horizontal="center" vertical="center" wrapText="1"/>
    </xf>
    <xf numFmtId="0" fontId="18" fillId="7" borderId="7" xfId="0" applyFont="1" applyFill="1" applyBorder="1" applyProtection="1">
      <alignment horizontal="center" vertical="center" wrapText="1"/>
    </xf>
    <xf numFmtId="0" fontId="18" fillId="7" borderId="3" xfId="0" applyFont="1" applyFill="1" applyBorder="1" applyProtection="1">
      <alignment horizontal="center" vertical="center"/>
    </xf>
    <xf numFmtId="0" fontId="18" fillId="7" borderId="7" xfId="0" applyFont="1" applyFill="1" applyBorder="1" applyProtection="1">
      <alignment horizontal="center" vertical="center"/>
    </xf>
    <xf numFmtId="0" fontId="18" fillId="0" borderId="1" xfId="0" applyFont="1" applyBorder="1" applyProtection="1">
      <alignment horizontal="center" vertical="center"/>
    </xf>
    <xf numFmtId="0" fontId="4" fillId="0" borderId="1" xfId="0" applyFont="1" applyBorder="1" applyProtection="1">
      <alignment horizontal="center" vertical="bottom"/>
    </xf>
    <xf numFmtId="0" fontId="4" fillId="0" borderId="0" xfId="0" applyFont="1">
      <alignment horizontal="center" vertical="bottom"/>
    </xf>
    <xf numFmtId="0" fontId="18" fillId="7" borderId="10" xfId="0" applyFont="1" applyFill="1" applyBorder="1" applyProtection="1">
      <alignment horizontal="center" vertical="center"/>
    </xf>
    <xf numFmtId="0" fontId="15" fillId="0" borderId="1" xfId="0" applyFont="1" applyBorder="1" applyProtection="1">
      <alignment horizontal="center" vertical="center"/>
    </xf>
    <xf numFmtId="0" fontId="18" fillId="7" borderId="1" xfId="0" applyFont="1" applyFill="1" applyBorder="1" applyProtection="1">
      <alignment horizontal="center" vertical="center"/>
    </xf>
    <xf numFmtId="0" fontId="18" fillId="7" borderId="18" xfId="0" applyFont="1" applyFill="1" applyBorder="1" applyProtection="1">
      <alignment horizontal="center" vertical="center"/>
    </xf>
    <xf numFmtId="0" fontId="18" fillId="7" borderId="29" xfId="0" applyFont="1" applyFill="1" applyBorder="1" applyProtection="1">
      <alignment horizontal="center" vertical="center"/>
    </xf>
    <xf numFmtId="0" fontId="18" fillId="7" borderId="27" xfId="0" applyFont="1" applyFill="1" applyBorder="1" applyProtection="1">
      <alignment horizontal="center" vertical="center"/>
    </xf>
    <xf numFmtId="0" fontId="18" fillId="7" borderId="1" xfId="0" applyFont="1" applyFill="1" applyBorder="1" applyProtection="1">
      <alignment horizontal="center" vertical="center"/>
    </xf>
    <xf numFmtId="0" fontId="7" fillId="0" borderId="1" xfId="0" applyFont="1" applyBorder="1" applyProtection="1">
      <alignment horizontal="left" vertical="center"/>
    </xf>
    <xf numFmtId="0" fontId="15" fillId="0" borderId="32" xfId="0" applyFont="1" applyBorder="1" applyProtection="1">
      <alignment horizontal="right" vertical="center"/>
    </xf>
    <xf numFmtId="0" fontId="7" fillId="7" borderId="18" xfId="0" applyFont="1" applyFill="1" applyBorder="1" applyProtection="1">
      <alignment horizontal="center" vertical="center"/>
    </xf>
    <xf numFmtId="0" fontId="7" fillId="7" borderId="29" xfId="0" applyFont="1" applyFill="1" applyBorder="1" applyProtection="1">
      <alignment horizontal="center" vertical="center"/>
    </xf>
    <xf numFmtId="0" fontId="7" fillId="7" borderId="27" xfId="0" applyFont="1" applyFill="1" applyBorder="1" applyProtection="1">
      <alignment horizontal="center" vertical="center"/>
    </xf>
    <xf numFmtId="0" fontId="7" fillId="13" borderId="31" xfId="0" applyFont="1" applyFill="1" applyBorder="1" applyProtection="1">
      <alignment horizontal="center" vertical="center"/>
    </xf>
    <xf numFmtId="0" fontId="7" fillId="13" borderId="32" xfId="0" applyFont="1" applyFill="1" applyBorder="1" applyProtection="1">
      <alignment horizontal="center" vertical="center"/>
    </xf>
    <xf numFmtId="0" fontId="7" fillId="7" borderId="10" xfId="0" applyFont="1" applyFill="1" applyBorder="1" applyProtection="1">
      <alignment horizontal="center" vertical="center"/>
    </xf>
    <xf numFmtId="0" fontId="7" fillId="7" borderId="3" xfId="0" applyFont="1" applyFill="1" applyBorder="1" applyProtection="1">
      <alignment horizontal="center" vertical="center"/>
    </xf>
    <xf numFmtId="0" fontId="7" fillId="7" borderId="7" xfId="0" applyFont="1" applyFill="1" applyBorder="1" applyProtection="1">
      <alignment horizontal="center" vertical="center"/>
    </xf>
    <xf numFmtId="0" fontId="6" fillId="7" borderId="10" xfId="0" applyFont="1" applyFill="1" applyBorder="1" applyProtection="1">
      <alignment horizontal="center" vertical="center" wrapText="1"/>
    </xf>
    <xf numFmtId="0" fontId="6" fillId="7" borderId="7" xfId="0" applyFont="1" applyFill="1" applyBorder="1" applyProtection="1">
      <alignment horizontal="center" vertical="center" wrapText="1"/>
    </xf>
    <xf numFmtId="0" fontId="7" fillId="7" borderId="1" xfId="0" applyFont="1" applyFill="1" applyBorder="1" applyProtection="1">
      <alignment horizontal="center" vertical="center" wrapText="1"/>
    </xf>
    <xf numFmtId="0" fontId="4" fillId="0" borderId="32" xfId="0" applyFont="1" applyBorder="1" applyProtection="1">
      <alignment horizontal="right" vertical="center"/>
    </xf>
    <xf numFmtId="0" fontId="6" fillId="7" borderId="10" xfId="0" applyFont="1" applyFill="1" applyBorder="1" applyProtection="1">
      <alignment horizontal="center" vertical="center"/>
    </xf>
    <xf numFmtId="0" fontId="6" fillId="7" borderId="7" xfId="0" applyFont="1" applyFill="1" applyBorder="1" applyProtection="1">
      <alignment horizontal="center" vertical="center"/>
    </xf>
    <xf numFmtId="0" fontId="17" fillId="0" borderId="1" xfId="0" applyFont="1" applyBorder="1" applyProtection="1">
      <alignment horizontal="center" vertical="center"/>
    </xf>
    <xf numFmtId="0" fontId="17" fillId="0" borderId="18" xfId="0" applyFont="1" applyBorder="1" applyProtection="1">
      <alignment horizontal="center" vertical="center"/>
    </xf>
    <xf numFmtId="0" fontId="17" fillId="0" borderId="27" xfId="0" applyFont="1" applyBorder="1" applyProtection="1">
      <alignment horizontal="general" vertical="center"/>
    </xf>
    <xf numFmtId="0" fontId="17" fillId="0" borderId="27" xfId="0" applyFont="1" applyBorder="1" applyProtection="1">
      <alignment horizontal="center" vertical="center"/>
    </xf>
    <xf numFmtId="0" fontId="17" fillId="0" borderId="18" xfId="0" applyFont="1" applyBorder="1" applyProtection="1">
      <alignment horizontal="center" vertical="center" wrapText="1"/>
    </xf>
    <xf numFmtId="0" fontId="17" fillId="0" borderId="29" xfId="0" applyFont="1" applyBorder="1" applyProtection="1">
      <alignment horizontal="center" vertical="center"/>
    </xf>
    <xf numFmtId="0" fontId="42" fillId="0" borderId="11" xfId="0" applyFont="1" applyBorder="1" applyProtection="1">
      <alignment horizontal="center" vertical="center"/>
    </xf>
    <xf numFmtId="0" fontId="42" fillId="0" borderId="28" xfId="0" applyFont="1" applyBorder="1" applyProtection="1">
      <alignment horizontal="center" vertical="center"/>
    </xf>
    <xf numFmtId="0" fontId="42" fillId="0" borderId="30" xfId="0" applyFont="1" applyBorder="1" applyProtection="1">
      <alignment horizontal="center" vertical="center"/>
    </xf>
    <xf numFmtId="0" fontId="11" fillId="5" borderId="1" xfId="0" applyFont="1" applyFill="1" applyBorder="1" applyProtection="1">
      <alignment horizontal="center" vertical="center"/>
    </xf>
    <xf numFmtId="0" fontId="12" fillId="5" borderId="1" xfId="0" applyFont="1" applyFill="1" applyBorder="1" applyProtection="1">
      <alignment horizontal="center" vertical="center"/>
    </xf>
    <xf numFmtId="0" fontId="11" fillId="5" borderId="1" xfId="0" applyFont="1" applyFill="1" applyBorder="1" applyProtection="1">
      <alignment horizontal="center" vertical="center" wrapText="1"/>
    </xf>
    <xf numFmtId="0" fontId="12" fillId="5" borderId="1" xfId="0" applyFont="1" applyFill="1" applyBorder="1" applyProtection="1">
      <alignment horizontal="center" vertical="center" wrapText="1"/>
    </xf>
    <xf numFmtId="0" fontId="43" fillId="0" borderId="18" xfId="0" applyFont="1" applyBorder="1" applyProtection="1">
      <alignment horizontal="center" vertical="center"/>
    </xf>
    <xf numFmtId="0" fontId="43" fillId="0" borderId="29" xfId="0" applyFont="1" applyBorder="1" applyProtection="1">
      <alignment horizontal="center" vertical="center"/>
    </xf>
    <xf numFmtId="0" fontId="43" fillId="0" borderId="27" xfId="0" applyFont="1" applyBorder="1" applyProtection="1">
      <alignment horizontal="center" vertical="center"/>
    </xf>
    <xf numFmtId="0" fontId="4" fillId="0" borderId="10" xfId="0" applyFont="1" applyBorder="1" applyProtection="1">
      <alignment horizontal="center" vertical="center"/>
    </xf>
    <xf numFmtId="0" fontId="4" fillId="0" borderId="7" xfId="0" applyFont="1" applyBorder="1" applyProtection="1">
      <alignment horizontal="center" vertical="center"/>
    </xf>
    <xf numFmtId="0" fontId="4" fillId="0" borderId="11" xfId="0" applyFont="1" applyBorder="1" applyProtection="1">
      <alignment horizontal="center" vertical="center"/>
    </xf>
    <xf numFmtId="0" fontId="4" fillId="0" borderId="28" xfId="0" applyFont="1" applyBorder="1" applyProtection="1">
      <alignment horizontal="center" vertical="center"/>
    </xf>
    <xf numFmtId="0" fontId="4" fillId="0" borderId="30" xfId="0" applyFont="1" applyBorder="1" applyProtection="1">
      <alignment horizontal="center" vertical="center"/>
    </xf>
    <xf numFmtId="0" fontId="4" fillId="0" borderId="31" xfId="0" applyFont="1" applyBorder="1" applyProtection="1">
      <alignment horizontal="center" vertical="center"/>
    </xf>
    <xf numFmtId="0" fontId="4" fillId="0" borderId="32" xfId="0" applyFont="1" applyBorder="1" applyProtection="1">
      <alignment horizontal="center" vertical="center"/>
    </xf>
    <xf numFmtId="0" fontId="4" fillId="0" borderId="33" xfId="0" applyFont="1" applyBorder="1" applyProtection="1">
      <alignment horizontal="center" vertical="center"/>
    </xf>
    <xf numFmtId="0" fontId="4" fillId="0" borderId="10" xfId="0" applyFont="1" applyBorder="1" applyProtection="1">
      <alignment horizontal="center" vertical="center" wrapText="1"/>
    </xf>
    <xf numFmtId="0" fontId="4" fillId="0" borderId="7" xfId="0" applyFont="1" applyBorder="1" applyProtection="1">
      <alignment horizontal="center" vertical="center" wrapText="1"/>
    </xf>
    <xf numFmtId="0" fontId="4" fillId="0" borderId="11" xfId="0" applyFont="1" applyBorder="1" applyProtection="1">
      <alignment horizontal="center" vertical="center" wrapText="1"/>
    </xf>
    <xf numFmtId="0" fontId="4" fillId="0" borderId="28" xfId="0" applyFont="1" applyBorder="1" applyProtection="1">
      <alignment horizontal="center" vertical="center" wrapText="1"/>
    </xf>
    <xf numFmtId="0" fontId="4" fillId="0" borderId="30" xfId="0" applyFont="1" applyBorder="1" applyProtection="1">
      <alignment horizontal="center" vertical="center" wrapText="1"/>
    </xf>
    <xf numFmtId="0" fontId="4" fillId="0" borderId="31" xfId="0" applyFont="1" applyBorder="1" applyProtection="1">
      <alignment horizontal="center" vertical="center" wrapText="1"/>
    </xf>
    <xf numFmtId="0" fontId="4" fillId="0" borderId="32" xfId="0" applyFont="1" applyBorder="1" applyProtection="1">
      <alignment horizontal="center" vertical="center" wrapText="1"/>
    </xf>
    <xf numFmtId="0" fontId="4" fillId="0" borderId="33" xfId="0" applyFont="1" applyBorder="1" applyProtection="1">
      <alignment horizontal="center" vertical="center" wrapText="1"/>
    </xf>
    <xf numFmtId="0" fontId="4" fillId="0" borderId="1" xfId="0" applyFont="1" applyBorder="1" applyProtection="1">
      <alignment horizontal="center" vertical="center" wrapText="1"/>
    </xf>
    <xf numFmtId="0" fontId="4" fillId="0" borderId="3" xfId="0" applyFont="1" applyBorder="1" applyProtection="1">
      <alignment horizontal="center" vertical="center"/>
    </xf>
    <xf numFmtId="0" fontId="4" fillId="0" borderId="25" xfId="0" applyFont="1" applyBorder="1" applyProtection="1">
      <alignment horizontal="center" vertical="center"/>
    </xf>
    <xf numFmtId="0" fontId="4" fillId="0" borderId="26" xfId="0" applyFont="1" applyBorder="1" applyProtection="1">
      <alignment horizontal="center" vertical="center"/>
    </xf>
    <xf numFmtId="0" fontId="9" fillId="0" borderId="34" xfId="0" applyFont="1" applyBorder="1" applyProtection="1">
      <alignment horizontal="left" vertical="center" wrapText="1"/>
    </xf>
    <xf numFmtId="0" fontId="9" fillId="0" borderId="24" xfId="0" applyFont="1" applyBorder="1" applyProtection="1">
      <alignment horizontal="left" vertical="center" wrapText="1"/>
    </xf>
    <xf numFmtId="2" fontId="4" fillId="0" borderId="18" xfId="0" applyNumberFormat="1" applyFont="1" applyBorder="1" applyProtection="1">
      <alignment horizontal="center" vertical="center"/>
    </xf>
    <xf numFmtId="2" fontId="4" fillId="0" borderId="29" xfId="0" applyNumberFormat="1" applyFont="1" applyBorder="1" applyProtection="1">
      <alignment horizontal="center" vertical="center"/>
    </xf>
    <xf numFmtId="2" fontId="4" fillId="0" borderId="27" xfId="0" applyNumberFormat="1" applyFont="1" applyBorder="1" applyProtection="1">
      <alignment horizontal="center" vertical="center"/>
    </xf>
    <xf numFmtId="0" fontId="4" fillId="0" borderId="27" xfId="0" applyFont="1" applyBorder="1" applyProtection="1">
      <alignment horizontal="center" vertical="center"/>
    </xf>
    <xf numFmtId="0" fontId="8" fillId="0" borderId="17" xfId="0" applyFont="1" applyBorder="1" applyProtection="1">
      <alignment horizontal="center" vertical="center"/>
    </xf>
    <xf numFmtId="0" fontId="8" fillId="0" borderId="35" xfId="0" applyFont="1" applyBorder="1" applyProtection="1">
      <alignment horizontal="center" vertical="center"/>
    </xf>
    <xf numFmtId="0" fontId="8" fillId="0" borderId="36" xfId="0" applyFont="1" applyBorder="1" applyProtection="1">
      <alignment horizontal="center" vertical="center"/>
    </xf>
    <xf numFmtId="0" fontId="8" fillId="0" borderId="14" xfId="0" applyFont="1" applyBorder="1" applyProtection="1">
      <alignment horizontal="center" vertical="center"/>
    </xf>
    <xf numFmtId="0" fontId="8" fillId="0" borderId="37" xfId="0" applyFont="1" applyBorder="1" applyProtection="1">
      <alignment horizontal="center" vertical="center"/>
    </xf>
    <xf numFmtId="0" fontId="8" fillId="0" borderId="38" xfId="0" applyFont="1" applyBorder="1" applyProtection="1">
      <alignment horizontal="center" vertical="center"/>
    </xf>
    <xf numFmtId="0" fontId="8" fillId="0" borderId="39" xfId="0" applyFont="1" applyBorder="1" applyProtection="1">
      <alignment horizontal="center" vertical="center"/>
    </xf>
    <xf numFmtId="167" fontId="8" fillId="21" borderId="11" xfId="0" applyNumberFormat="1" applyFont="1" applyFill="1" applyBorder="1" applyProtection="1">
      <alignment horizontal="center" vertical="center"/>
    </xf>
    <xf numFmtId="167" fontId="8" fillId="21" borderId="30" xfId="0" applyNumberFormat="1" applyFont="1" applyFill="1" applyBorder="1" applyProtection="1">
      <alignment horizontal="center" vertical="center"/>
    </xf>
    <xf numFmtId="167" fontId="8" fillId="21" borderId="28" xfId="0" applyNumberFormat="1" applyFont="1" applyFill="1" applyBorder="1" applyProtection="1">
      <alignment horizontal="center" vertical="center"/>
    </xf>
    <xf numFmtId="167" fontId="8" fillId="21" borderId="40" xfId="0" applyNumberFormat="1" applyFont="1" applyFill="1" applyBorder="1" applyProtection="1">
      <alignment horizontal="center" vertical="center"/>
    </xf>
    <xf numFmtId="167" fontId="8" fillId="21" borderId="36" xfId="0" applyNumberFormat="1" applyFont="1" applyFill="1" applyBorder="1" applyProtection="1">
      <alignment horizontal="center" vertical="center"/>
    </xf>
    <xf numFmtId="0" fontId="7" fillId="4" borderId="14" xfId="0" applyFont="1" applyFill="1" applyBorder="1" applyProtection="1">
      <alignment horizontal="center" vertical="center"/>
    </xf>
    <xf numFmtId="0" fontId="7" fillId="4" borderId="38" xfId="0" applyFont="1" applyFill="1" applyBorder="1" applyProtection="1">
      <alignment horizontal="center" vertical="center"/>
    </xf>
    <xf numFmtId="0" fontId="8" fillId="0" borderId="40" xfId="0" applyFont="1" applyBorder="1" applyProtection="1">
      <alignment horizontal="center" vertical="center"/>
    </xf>
    <xf numFmtId="0" fontId="8" fillId="0" borderId="5" xfId="0" applyFont="1" applyBorder="1" applyProtection="1">
      <alignment horizontal="center" vertical="center"/>
    </xf>
    <xf numFmtId="0" fontId="7" fillId="3" borderId="17" xfId="0" applyFont="1" applyFill="1" applyBorder="1" applyProtection="1">
      <alignment horizontal="center" vertical="center"/>
      <protection locked="0"/>
    </xf>
    <xf numFmtId="0" fontId="7" fillId="3" borderId="35" xfId="0" applyFont="1" applyFill="1" applyBorder="1" applyProtection="1">
      <alignment horizontal="center" vertical="center"/>
      <protection locked="0"/>
    </xf>
    <xf numFmtId="2" fontId="7" fillId="3" borderId="17" xfId="0" applyNumberFormat="1" applyFont="1" applyFill="1" applyBorder="1" applyProtection="1">
      <alignment horizontal="center" vertical="center"/>
      <protection locked="0"/>
    </xf>
    <xf numFmtId="0" fontId="7" fillId="3" borderId="36" xfId="0" applyFont="1" applyFill="1" applyBorder="1" applyProtection="1">
      <alignment horizontal="center" vertical="center"/>
      <protection locked="0"/>
    </xf>
    <xf numFmtId="0" fontId="7" fillId="4" borderId="39" xfId="0" applyFont="1" applyFill="1" applyBorder="1" applyProtection="1">
      <alignment horizontal="center" vertical="center"/>
    </xf>
    <xf numFmtId="0" fontId="7" fillId="4" borderId="4" xfId="0" applyFont="1" applyFill="1" applyBorder="1" applyProtection="1">
      <alignment horizontal="center" vertical="center"/>
    </xf>
    <xf numFmtId="0" fontId="7" fillId="4" borderId="37" xfId="0" applyFont="1" applyFill="1" applyBorder="1" applyProtection="1">
      <alignment horizontal="center" vertical="center"/>
    </xf>
    <xf numFmtId="0" fontId="4" fillId="0" borderId="3" xfId="0" applyFont="1" applyBorder="1" applyProtection="1">
      <alignment horizontal="center" vertical="center" wrapText="1"/>
    </xf>
    <xf numFmtId="31" fontId="4" fillId="0" borderId="31" xfId="0" applyNumberFormat="1" applyFont="1" applyBorder="1" applyProtection="1">
      <alignment horizontal="left" vertical="center" wrapText="1"/>
    </xf>
    <xf numFmtId="31" fontId="4" fillId="0" borderId="32" xfId="0" applyNumberFormat="1" applyFont="1" applyBorder="1" applyProtection="1">
      <alignment horizontal="left" vertical="center" wrapText="1"/>
    </xf>
    <xf numFmtId="31" fontId="4" fillId="0" borderId="33" xfId="0" applyNumberFormat="1" applyFont="1" applyBorder="1" applyProtection="1">
      <alignment horizontal="left" vertical="center" wrapText="1"/>
    </xf>
    <xf numFmtId="0" fontId="4" fillId="0" borderId="0" xfId="0" applyFont="1">
      <alignment horizontal="left" vertical="center"/>
    </xf>
    <xf numFmtId="0" fontId="4" fillId="0" borderId="1" xfId="0" applyFont="1" applyBorder="1" applyProtection="1">
      <alignment horizontal="right" vertical="center"/>
    </xf>
    <xf numFmtId="31" fontId="4" fillId="0" borderId="25" xfId="0" applyNumberFormat="1" applyFont="1" applyBorder="1" applyProtection="1">
      <alignment horizontal="left" vertical="center" wrapText="1"/>
    </xf>
    <xf numFmtId="31" fontId="4" fillId="0" borderId="0" xfId="0" applyNumberFormat="1" applyFont="1">
      <alignment horizontal="left" vertical="center" wrapText="1"/>
    </xf>
    <xf numFmtId="31" fontId="4" fillId="0" borderId="26" xfId="0" applyNumberFormat="1" applyFont="1" applyBorder="1" applyProtection="1">
      <alignment horizontal="left" vertical="center" wrapText="1"/>
    </xf>
    <xf numFmtId="31" fontId="4" fillId="0" borderId="25" xfId="0" applyNumberFormat="1" applyFont="1" applyBorder="1" applyProtection="1">
      <alignment horizontal="center" vertical="center"/>
    </xf>
    <xf numFmtId="31" fontId="4" fillId="0" borderId="0" xfId="0" applyNumberFormat="1" applyFont="1">
      <alignment horizontal="center" vertical="center"/>
    </xf>
    <xf numFmtId="31" fontId="4" fillId="0" borderId="26" xfId="0" applyNumberFormat="1" applyFont="1" applyBorder="1" applyProtection="1">
      <alignment horizontal="center" vertical="center"/>
    </xf>
    <xf numFmtId="0" fontId="4" fillId="0" borderId="25" xfId="0" applyFont="1" applyBorder="1" applyProtection="1">
      <alignment horizontal="left" vertical="center"/>
    </xf>
    <xf numFmtId="0" fontId="4" fillId="0" borderId="26" xfId="0" applyFont="1" applyBorder="1" applyProtection="1">
      <alignment horizontal="left" vertical="center"/>
    </xf>
    <xf numFmtId="0" fontId="4" fillId="0" borderId="25" xfId="0" applyFont="1" applyBorder="1" applyProtection="1">
      <alignment horizontal="right" vertical="center"/>
    </xf>
    <xf numFmtId="0" fontId="4" fillId="0" borderId="0" xfId="0" applyFont="1">
      <alignment horizontal="right" vertical="center"/>
    </xf>
    <xf numFmtId="0" fontId="4" fillId="0" borderId="26" xfId="0" applyFont="1" applyBorder="1" applyProtection="1">
      <alignment horizontal="right" vertical="center"/>
    </xf>
    <xf numFmtId="31" fontId="4" fillId="0" borderId="25" xfId="0" applyNumberFormat="1" applyFont="1" applyBorder="1" applyProtection="1">
      <alignment horizontal="right" vertical="center"/>
    </xf>
    <xf numFmtId="31" fontId="4" fillId="0" borderId="0" xfId="0" applyNumberFormat="1" applyFont="1">
      <alignment horizontal="right" vertical="center"/>
    </xf>
    <xf numFmtId="31" fontId="4" fillId="0" borderId="26" xfId="0" applyNumberFormat="1" applyFont="1" applyBorder="1" applyProtection="1">
      <alignment horizontal="right" vertical="center"/>
    </xf>
    <xf numFmtId="31" fontId="4" fillId="0" borderId="25" xfId="0" applyNumberFormat="1" applyFont="1" applyBorder="1" applyProtection="1">
      <alignment horizontal="left" vertical="center"/>
    </xf>
    <xf numFmtId="31" fontId="4" fillId="0" borderId="0" xfId="0" applyNumberFormat="1" applyFont="1">
      <alignment horizontal="left" vertical="center"/>
    </xf>
    <xf numFmtId="31" fontId="4" fillId="0" borderId="26" xfId="0" applyNumberFormat="1" applyFont="1" applyBorder="1" applyProtection="1">
      <alignment horizontal="left" vertical="center"/>
    </xf>
    <xf numFmtId="0" fontId="4" fillId="0" borderId="25" xfId="0" applyFont="1" applyBorder="1" applyProtection="1">
      <alignment horizontal="left" vertical="center" wrapText="1"/>
    </xf>
    <xf numFmtId="0" fontId="4" fillId="0" borderId="0" xfId="0" applyFont="1">
      <alignment horizontal="left" vertical="center" wrapText="1"/>
    </xf>
    <xf numFmtId="0" fontId="4" fillId="0" borderId="26" xfId="0" applyFont="1" applyBorder="1" applyProtection="1">
      <alignment horizontal="left" vertical="center" wrapText="1"/>
    </xf>
    <xf numFmtId="0" fontId="4" fillId="0" borderId="0" xfId="0" applyFont="1">
      <alignment horizontal="general" vertical="center"/>
    </xf>
    <xf numFmtId="0" fontId="44" fillId="0" borderId="0" xfId="0" applyFont="1">
      <alignment horizontal="center" vertical="center" wrapText="1"/>
    </xf>
    <xf numFmtId="0" fontId="45" fillId="0" borderId="0" xfId="0" applyFont="1">
      <alignment horizontal="center" vertical="center" wrapText="1"/>
    </xf>
    <xf numFmtId="0" fontId="46" fillId="0" borderId="1" xfId="0" applyFont="1" applyBorder="1" applyProtection="1">
      <alignment horizontal="center" vertical="center" wrapText="1"/>
      <protection hidden="1"/>
    </xf>
    <xf numFmtId="0" fontId="47" fillId="0" borderId="11" xfId="0" applyFont="1" applyBorder="1" applyProtection="1">
      <alignment horizontal="center" vertical="center" wrapText="1"/>
      <protection hidden="1"/>
    </xf>
    <xf numFmtId="0" fontId="48" fillId="0" borderId="10" xfId="0" applyFont="1" applyBorder="1" applyProtection="1">
      <alignment horizontal="center" vertical="center" wrapText="1"/>
      <protection hidden="1"/>
    </xf>
    <xf numFmtId="0" fontId="49" fillId="0" borderId="1" xfId="0" applyFont="1" applyBorder="1" applyProtection="1">
      <alignment horizontal="center" vertical="center" wrapText="1"/>
      <protection hidden="1"/>
    </xf>
    <xf numFmtId="0" fontId="50" fillId="0" borderId="1" xfId="0" applyFont="1" applyBorder="1" applyProtection="1">
      <alignment horizontal="center" vertical="center" wrapText="1"/>
      <protection hidden="1"/>
    </xf>
    <xf numFmtId="0" fontId="51" fillId="0" borderId="1" xfId="0" applyFont="1" applyBorder="1" applyProtection="1">
      <alignment horizontal="center" vertical="center" wrapText="1"/>
      <protection hidden="1"/>
    </xf>
    <xf numFmtId="0" fontId="52" fillId="7" borderId="10" xfId="0" applyFont="1" applyFill="1" applyBorder="1" applyProtection="1">
      <alignment horizontal="center" vertical="center" wrapText="1"/>
    </xf>
    <xf numFmtId="0" fontId="53" fillId="0" borderId="1" xfId="0" applyFont="1" applyBorder="1" applyProtection="1">
      <alignment horizontal="general" vertical="bottom" wrapText="1"/>
    </xf>
    <xf numFmtId="0" fontId="54" fillId="7" borderId="1" xfId="0" applyFont="1" applyFill="1" applyBorder="1" applyProtection="1">
      <alignment horizontal="center" vertical="center" wrapText="1"/>
    </xf>
    <xf numFmtId="0" fontId="55" fillId="7" borderId="1" xfId="0" applyFont="1" applyFill="1" applyBorder="1" applyProtection="1">
      <alignment horizontal="center" vertical="center" wrapText="1"/>
    </xf>
    <xf numFmtId="0" fontId="56" fillId="7" borderId="10" xfId="0" applyFont="1" applyFill="1" applyBorder="1" applyProtection="1">
      <alignment horizontal="center" vertical="center" wrapText="1"/>
    </xf>
    <xf numFmtId="0" fontId="57" fillId="7" borderId="10" xfId="0" applyFont="1" applyFill="1" applyBorder="1" applyProtection="1">
      <alignment horizontal="center" vertical="center" wrapText="1"/>
    </xf>
    <xf numFmtId="0" fontId="58" fillId="7" borderId="10" xfId="0" applyFont="1" applyFill="1" applyBorder="1" applyProtection="1">
      <alignment horizontal="center" vertical="center" wrapText="1"/>
    </xf>
    <xf numFmtId="0" fontId="59" fillId="0" borderId="1" xfId="0" applyFont="1" applyBorder="1" applyProtection="1">
      <alignment horizontal="center" vertical="center" wrapText="1"/>
    </xf>
    <xf numFmtId="0" fontId="60" fillId="0" borderId="11" xfId="0" applyFont="1" applyBorder="1" applyProtection="1">
      <alignment horizontal="center" vertical="center" wrapText="1"/>
    </xf>
    <xf numFmtId="0" fontId="61" fillId="0" borderId="10" xfId="0" applyFont="1" applyBorder="1" applyProtection="1">
      <alignment horizontal="center" vertical="center" wrapText="1"/>
    </xf>
    <xf numFmtId="0" fontId="62" fillId="0" borderId="10" xfId="0" applyFont="1" applyBorder="1" applyProtection="1">
      <alignment horizontal="center" vertical="center" wrapText="1"/>
    </xf>
    <xf numFmtId="0" fontId="63" fillId="0" borderId="1" xfId="0" applyFont="1" applyBorder="1" applyProtection="1">
      <alignment horizontal="center" vertical="center" wrapText="1"/>
    </xf>
    <xf numFmtId="0" fontId="64" fillId="0" borderId="1" xfId="0" applyFont="1" applyBorder="1" applyProtection="1">
      <alignment horizontal="center" vertical="center" wrapText="1"/>
    </xf>
    <xf numFmtId="0" fontId="65" fillId="0" borderId="1" xfId="0" applyFont="1" applyBorder="1" applyProtection="1">
      <alignment horizontal="center" vertical="center" wrapText="1"/>
    </xf>
  </cellXfs>
  <cellStyles count="2">
    <cellStyle name="常规" xfId="0" builtinId="0"/>
    <cellStyle name="超链接" xfId="1" builtinId="8"/>
  </cellStyles>
  <dxfs count="6">
    <dxf>
      <font>
        <b/>
        <color rgb="FF000000"/>
      </font>
      <fill>
        <patternFill>
          <bgColor rgb="FF92D050"/>
        </patternFill>
      </fill>
    </dxf>
    <dxf>
      <fill>
        <patternFill>
          <bgColor rgb="FFC00000"/>
        </patternFill>
      </fill>
    </dxf>
    <dxf>
      <fill>
        <patternFill>
          <bgColor rgb="FFFFC7CE"/>
        </patternFill>
      </fill>
    </dxf>
    <dxf>
      <font>
        <color rgb="FF000000"/>
      </font>
      <fill>
        <patternFill>
          <bgColor rgb="FFC00000"/>
        </patternFill>
      </fill>
    </dxf>
    <dxf>
      <font>
        <color rgb="FF006100"/>
      </font>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5" Type="http://schemas.openxmlformats.org/officeDocument/2006/relationships/worksheet" Target="worksheets/sheet15.xml"/><Relationship Id="rId32" Type="http://schemas.openxmlformats.org/officeDocument/2006/relationships/theme" Target="theme/theme1.xml"/><Relationship Id="rId7" Type="http://schemas.openxmlformats.org/officeDocument/2006/relationships/worksheet" Target="worksheets/sheet7.xml"/><Relationship Id="rId30" Type="http://schemas.openxmlformats.org/officeDocument/2006/relationships/sharedStrings" Target="sharedStrings.xml"/><Relationship Id="rId21" Type="http://schemas.openxmlformats.org/officeDocument/2006/relationships/worksheet" Target="worksheets/sheet21.xml"/><Relationship Id="rId10" Type="http://schemas.openxmlformats.org/officeDocument/2006/relationships/worksheet" Target="worksheets/sheet10.xml"/><Relationship Id="rId18" Type="http://schemas.openxmlformats.org/officeDocument/2006/relationships/worksheet" Target="worksheets/sheet18.xml"/><Relationship Id="rId28" Type="http://schemas.openxmlformats.org/officeDocument/2006/relationships/worksheet" Target="worksheets/sheet28.xml"/><Relationship Id="rId5" Type="http://schemas.openxmlformats.org/officeDocument/2006/relationships/worksheet" Target="worksheets/sheet5.xml"/><Relationship Id="rId27" Type="http://schemas.openxmlformats.org/officeDocument/2006/relationships/worksheet" Target="worksheets/sheet27.xml"/><Relationship Id="rId19" Type="http://schemas.openxmlformats.org/officeDocument/2006/relationships/worksheet" Target="worksheets/sheet19.xml"/><Relationship Id="rId12" Type="http://schemas.openxmlformats.org/officeDocument/2006/relationships/worksheet" Target="worksheets/sheet12.xml"/><Relationship Id="rId13" Type="http://schemas.openxmlformats.org/officeDocument/2006/relationships/worksheet" Target="worksheets/sheet13.xml"/><Relationship Id="rId24" Type="http://schemas.openxmlformats.org/officeDocument/2006/relationships/worksheet" Target="worksheets/sheet24.xml"/><Relationship Id="rId3" Type="http://schemas.openxmlformats.org/officeDocument/2006/relationships/worksheet" Target="worksheets/sheet3.xml"/><Relationship Id="rId1" Type="http://schemas.openxmlformats.org/officeDocument/2006/relationships/worksheet" Target="worksheets/sheet1.xml"/><Relationship Id="rId17" Type="http://schemas.openxmlformats.org/officeDocument/2006/relationships/worksheet" Target="worksheets/sheet17.xml"/><Relationship Id="rId22" Type="http://schemas.openxmlformats.org/officeDocument/2006/relationships/worksheet" Target="worksheets/sheet22.xml"/><Relationship Id="rId26" Type="http://schemas.openxmlformats.org/officeDocument/2006/relationships/worksheet" Target="worksheets/sheet26.xml"/><Relationship Id="rId6" Type="http://schemas.openxmlformats.org/officeDocument/2006/relationships/worksheet" Target="worksheets/sheet6.xml"/><Relationship Id="rId4" Type="http://schemas.openxmlformats.org/officeDocument/2006/relationships/worksheet" Target="worksheets/sheet4.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31" Type="http://schemas.openxmlformats.org/officeDocument/2006/relationships/styles" Target="styles.xml"/><Relationship Id="rId14" Type="http://schemas.openxmlformats.org/officeDocument/2006/relationships/worksheet" Target="worksheets/sheet14.xml"/><Relationship Id="rId25" Type="http://schemas.openxmlformats.org/officeDocument/2006/relationships/worksheet" Target="worksheets/sheet25.xml"/><Relationship Id="rId23" Type="http://schemas.openxmlformats.org/officeDocument/2006/relationships/worksheet" Target="worksheets/sheet23.xml"/><Relationship Id="rId29" Type="http://schemas.openxmlformats.org/officeDocument/2006/relationships/worksheet" Target="worksheets/sheet29.xml"/><Relationship Id="rId16" Type="http://schemas.openxmlformats.org/officeDocument/2006/relationships/worksheet" Target="worksheets/sheet16.xml"/><Relationship Id="rId20"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5" Type="http://schemas.openxmlformats.org/officeDocument/2006/relationships/image" Target="../media/image12.png"/><Relationship Id="rId2" Type="http://schemas.openxmlformats.org/officeDocument/2006/relationships/image" Target="../media/image9.png"/><Relationship Id="rId4" Type="http://schemas.openxmlformats.org/officeDocument/2006/relationships/image" Target="../media/image11.png"/><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2112169</xdr:colOff>
      <xdr:row>1</xdr:row>
      <xdr:rowOff>95250</xdr:rowOff>
    </xdr:from>
    <xdr:ext cx="710406" cy="0"/>
    <xdr:cxnSp macro="">
      <xdr:nvCxnSpPr>
        <xdr:cNvPr id="2" name="shape1"/>
        <xdr:cNvCxnSpPr/>
      </xdr:nvCxnSpPr>
      <xdr:spPr>
        <a:xfrm>
          <a:off x="2415540" y="278130"/>
          <a:ext cx="710406" cy="0"/>
        </a:xfrm>
        <a:prstGeom prst="straightConnector1">
          <a:avLst/>
        </a:prstGeom>
        <a:noFill/>
        <a:ln w="38100">
          <a:solidFill>
            <a:srgbClr val="000000"/>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15</xdr:col>
      <xdr:colOff>332105</xdr:colOff>
      <xdr:row>4</xdr:row>
      <xdr:rowOff>47625</xdr:rowOff>
    </xdr:from>
    <xdr:ext cx="5384800" cy="5706110"/>
    <xdr:pic>
      <xdr:nvPicPr>
        <xdr:cNvPr id="1" name="图片 1"/>
        <xdr:cNvPicPr/>
      </xdr:nvPicPr>
      <xdr:blipFill>
        <a:blip r:embed="rId1"/>
        <a:stretch>
          <a:fillRect/>
        </a:stretch>
      </xdr:blipFill>
      <xdr:spPr>
        <a:xfrm>
          <a:off x="14730095" y="893445"/>
          <a:ext cx="5384800" cy="5706110"/>
        </a:xfrm>
        <a:prstGeom prst="rect"/>
      </xdr:spPr>
    </xdr:pic>
    <xdr:clientData/>
  </xdr:oneCellAnchor>
  <xdr:oneCellAnchor>
    <xdr:from>
      <xdr:col>7</xdr:col>
      <xdr:colOff>175260</xdr:colOff>
      <xdr:row>4</xdr:row>
      <xdr:rowOff>21590</xdr:rowOff>
    </xdr:from>
    <xdr:ext cx="5233670" cy="1306195"/>
    <xdr:pic>
      <xdr:nvPicPr>
        <xdr:cNvPr id="2" name="图片 2"/>
        <xdr:cNvPicPr/>
      </xdr:nvPicPr>
      <xdr:blipFill>
        <a:blip r:embed="rId2"/>
        <a:stretch>
          <a:fillRect/>
        </a:stretch>
      </xdr:blipFill>
      <xdr:spPr>
        <a:xfrm>
          <a:off x="9165590" y="867410"/>
          <a:ext cx="5233670" cy="1306195"/>
        </a:xfrm>
        <a:prstGeom prst="rect"/>
      </xdr:spPr>
    </xdr:pic>
    <xdr:clientData/>
  </xdr:oneCellAnchor>
  <xdr:oneCellAnchor>
    <xdr:from>
      <xdr:col>8</xdr:col>
      <xdr:colOff>93345</xdr:colOff>
      <xdr:row>17</xdr:row>
      <xdr:rowOff>20320</xdr:rowOff>
    </xdr:from>
    <xdr:ext cx="5046980" cy="906780"/>
    <xdr:pic>
      <xdr:nvPicPr>
        <xdr:cNvPr id="3" name="图片 3"/>
        <xdr:cNvPicPr/>
      </xdr:nvPicPr>
      <xdr:blipFill>
        <a:blip r:embed="rId3"/>
        <a:stretch>
          <a:fillRect/>
        </a:stretch>
      </xdr:blipFill>
      <xdr:spPr>
        <a:xfrm>
          <a:off x="9949815" y="3774440"/>
          <a:ext cx="5046980" cy="906780"/>
        </a:xfrm>
        <a:prstGeom prst="rect"/>
      </xdr:spPr>
    </xdr:pic>
    <xdr:clientData/>
  </xdr:oneCellAnchor>
  <xdr:oneCellAnchor>
    <xdr:from>
      <xdr:col>8</xdr:col>
      <xdr:colOff>135255</xdr:colOff>
      <xdr:row>28</xdr:row>
      <xdr:rowOff>134620</xdr:rowOff>
    </xdr:from>
    <xdr:ext cx="5092065" cy="1249680"/>
    <xdr:pic>
      <xdr:nvPicPr>
        <xdr:cNvPr id="4" name="图片 4"/>
        <xdr:cNvPicPr/>
      </xdr:nvPicPr>
      <xdr:blipFill>
        <a:blip r:embed="rId4"/>
        <a:stretch>
          <a:fillRect/>
        </a:stretch>
      </xdr:blipFill>
      <xdr:spPr>
        <a:xfrm>
          <a:off x="9991725" y="6113780"/>
          <a:ext cx="5092065" cy="1249680"/>
        </a:xfrm>
        <a:prstGeom prst="rect"/>
      </xdr:spPr>
    </xdr:pic>
    <xdr:clientData/>
  </xdr:oneCellAnchor>
  <xdr:oneCellAnchor>
    <xdr:from>
      <xdr:col>8</xdr:col>
      <xdr:colOff>188595</xdr:colOff>
      <xdr:row>22</xdr:row>
      <xdr:rowOff>172085</xdr:rowOff>
    </xdr:from>
    <xdr:ext cx="4895850" cy="426720"/>
    <xdr:pic>
      <xdr:nvPicPr>
        <xdr:cNvPr id="5" name="图片 5"/>
        <xdr:cNvPicPr/>
      </xdr:nvPicPr>
      <xdr:blipFill>
        <a:blip r:embed="rId5"/>
        <a:stretch>
          <a:fillRect/>
        </a:stretch>
      </xdr:blipFill>
      <xdr:spPr>
        <a:xfrm>
          <a:off x="10045065" y="4916805"/>
          <a:ext cx="4895850" cy="42672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13</xdr:col>
      <xdr:colOff>36195</xdr:colOff>
      <xdr:row>14</xdr:row>
      <xdr:rowOff>183515</xdr:rowOff>
    </xdr:from>
    <xdr:ext cx="4398645" cy="789305"/>
    <xdr:pic>
      <xdr:nvPicPr>
        <xdr:cNvPr id="1" name="图片 1"/>
        <xdr:cNvPicPr/>
      </xdr:nvPicPr>
      <xdr:blipFill>
        <a:blip r:embed="rId1"/>
        <a:stretch>
          <a:fillRect/>
        </a:stretch>
      </xdr:blipFill>
      <xdr:spPr>
        <a:xfrm>
          <a:off x="11024235" y="2926080"/>
          <a:ext cx="4398645" cy="789305"/>
        </a:xfrm>
        <a:prstGeom prst="rect"/>
      </xdr:spPr>
    </xdr:pic>
    <xdr:clientData/>
  </xdr:oneCellAnchor>
  <xdr:oneCellAnchor>
    <xdr:from>
      <xdr:col>13</xdr:col>
      <xdr:colOff>361950</xdr:colOff>
      <xdr:row>20</xdr:row>
      <xdr:rowOff>262890</xdr:rowOff>
    </xdr:from>
    <xdr:ext cx="3280410" cy="547370"/>
    <xdr:pic>
      <xdr:nvPicPr>
        <xdr:cNvPr id="2" name="图片 2"/>
        <xdr:cNvPicPr/>
      </xdr:nvPicPr>
      <xdr:blipFill>
        <a:blip r:embed="rId2"/>
        <a:stretch>
          <a:fillRect/>
        </a:stretch>
      </xdr:blipFill>
      <xdr:spPr>
        <a:xfrm>
          <a:off x="11349990" y="4103370"/>
          <a:ext cx="3280410" cy="547370"/>
        </a:xfrm>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27</xdr:col>
      <xdr:colOff>135255</xdr:colOff>
      <xdr:row>35</xdr:row>
      <xdr:rowOff>151130</xdr:rowOff>
    </xdr:from>
    <xdr:ext cx="5996305" cy="727710"/>
    <xdr:pic>
      <xdr:nvPicPr>
        <xdr:cNvPr id="1" name="图片 1"/>
        <xdr:cNvPicPr/>
      </xdr:nvPicPr>
      <xdr:blipFill>
        <a:blip r:embed="rId1"/>
        <a:stretch>
          <a:fillRect/>
        </a:stretch>
      </xdr:blipFill>
      <xdr:spPr>
        <a:xfrm>
          <a:off x="14990445" y="6369050"/>
          <a:ext cx="5996305" cy="727710"/>
        </a:xfrm>
        <a:prstGeom prst="rect"/>
      </xdr:spPr>
    </xdr:pic>
    <xdr:clientData/>
  </xdr:oneCellAnchor>
  <xdr:oneCellAnchor>
    <xdr:from>
      <xdr:col>18</xdr:col>
      <xdr:colOff>250825</xdr:colOff>
      <xdr:row>54</xdr:row>
      <xdr:rowOff>12065</xdr:rowOff>
    </xdr:from>
    <xdr:ext cx="4150995" cy="1649095"/>
    <xdr:pic>
      <xdr:nvPicPr>
        <xdr:cNvPr id="2" name="图片 2"/>
        <xdr:cNvPicPr/>
      </xdr:nvPicPr>
      <xdr:blipFill>
        <a:blip r:embed="rId2"/>
        <a:stretch>
          <a:fillRect/>
        </a:stretch>
      </xdr:blipFill>
      <xdr:spPr>
        <a:xfrm>
          <a:off x="8994775" y="10245725"/>
          <a:ext cx="4150995" cy="1649095"/>
        </a:xfrm>
        <a:prstGeom prst="rect"/>
      </xdr:spPr>
    </xdr:pic>
    <xdr:clientData/>
  </xdr:oneCellAnchor>
  <xdr:oneCellAnchor>
    <xdr:from>
      <xdr:col>4</xdr:col>
      <xdr:colOff>531495</xdr:colOff>
      <xdr:row>36</xdr:row>
      <xdr:rowOff>82550</xdr:rowOff>
    </xdr:from>
    <xdr:ext cx="7031355" cy="3230245"/>
    <xdr:pic>
      <xdr:nvPicPr>
        <xdr:cNvPr id="3" name="图片 3"/>
        <xdr:cNvPicPr/>
      </xdr:nvPicPr>
      <xdr:blipFill>
        <a:blip r:embed="rId3"/>
        <a:stretch>
          <a:fillRect/>
        </a:stretch>
      </xdr:blipFill>
      <xdr:spPr>
        <a:xfrm>
          <a:off x="3023235" y="6475730"/>
          <a:ext cx="7031355" cy="3230245"/>
        </a:xfrm>
        <a:prstGeom prst="rect"/>
      </xdr:spPr>
    </xdr:pic>
    <xdr:clientData/>
  </xdr:oneCellAnchor>
  <xdr:oneCellAnchor>
    <xdr:from>
      <xdr:col>0</xdr:col>
      <xdr:colOff>48260</xdr:colOff>
      <xdr:row>44</xdr:row>
      <xdr:rowOff>43180</xdr:rowOff>
    </xdr:from>
    <xdr:ext cx="3334385" cy="2842895"/>
    <xdr:pic>
      <xdr:nvPicPr>
        <xdr:cNvPr id="4" name="图片 4"/>
        <xdr:cNvPicPr/>
      </xdr:nvPicPr>
      <xdr:blipFill>
        <a:blip r:embed="rId4"/>
        <a:stretch>
          <a:fillRect/>
        </a:stretch>
      </xdr:blipFill>
      <xdr:spPr>
        <a:xfrm>
          <a:off x="48260" y="7838440"/>
          <a:ext cx="3334385" cy="2842895"/>
        </a:xfrm>
        <a:prstGeom prst="rect"/>
      </xdr:spPr>
    </xdr:pic>
    <xdr:clientData/>
  </xdr:oneCellAnchor>
  <xdr:oneCellAnchor>
    <xdr:from>
      <xdr:col>22</xdr:col>
      <xdr:colOff>739140</xdr:colOff>
      <xdr:row>0</xdr:row>
      <xdr:rowOff>108585</xdr:rowOff>
    </xdr:from>
    <xdr:ext cx="238125" cy="9525"/>
    <xdr:cxnSp macro="">
      <xdr:nvCxnSpPr>
        <xdr:cNvPr id="2" name="shape2"/>
        <xdr:cNvCxnSpPr/>
      </xdr:nvCxnSpPr>
      <xdr:spPr>
        <a:xfrm>
          <a:off x="11410950" y="108585"/>
          <a:ext cx="238125" cy="9525"/>
        </a:xfrm>
        <a:prstGeom prst="straightConnector1">
          <a:avLst/>
        </a:prstGeom>
        <a:noFill/>
        <a:ln w="25400">
          <a:solidFill>
            <a:srgbClr val="000000"/>
          </a:solidFill>
        </a:ln>
      </xdr:spPr>
      <xdr:style>
        <a:lnRef idx="1">
          <a:schemeClr val="accent1"/>
        </a:lnRef>
        <a:fillRef idx="0">
          <a:schemeClr val="accent1"/>
        </a:fillRef>
        <a:effectRef idx="0">
          <a:schemeClr val="accent1"/>
        </a:effectRef>
        <a:fontRef idx="minor">
          <a:schemeClr val="tx1"/>
        </a:fontRef>
      </xdr:style>
    </xdr:cxnSp>
    <xdr:clientData/>
  </xdr:oneCellAnchor>
  <xdr:oneCellAnchor>
    <xdr:from>
      <xdr:col>22</xdr:col>
      <xdr:colOff>53340</xdr:colOff>
      <xdr:row>35</xdr:row>
      <xdr:rowOff>147320</xdr:rowOff>
    </xdr:from>
    <xdr:ext cx="5076190" cy="1313180"/>
    <xdr:pic>
      <xdr:nvPicPr>
        <xdr:cNvPr id="5" name="图片 5"/>
        <xdr:cNvPicPr/>
      </xdr:nvPicPr>
      <xdr:blipFill>
        <a:blip r:embed="rId5"/>
        <a:stretch>
          <a:fillRect/>
        </a:stretch>
      </xdr:blipFill>
      <xdr:spPr>
        <a:xfrm>
          <a:off x="10740390" y="6365240"/>
          <a:ext cx="5076190" cy="1313180"/>
        </a:xfrm>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17</xdr:col>
      <xdr:colOff>128270</xdr:colOff>
      <xdr:row>12</xdr:row>
      <xdr:rowOff>90170</xdr:rowOff>
    </xdr:from>
    <xdr:ext cx="4400550" cy="1029970"/>
    <xdr:pic>
      <xdr:nvPicPr>
        <xdr:cNvPr id="1" name="图片 1"/>
        <xdr:cNvPicPr/>
      </xdr:nvPicPr>
      <xdr:blipFill>
        <a:blip r:embed="rId1"/>
        <a:stretch>
          <a:fillRect/>
        </a:stretch>
      </xdr:blipFill>
      <xdr:spPr>
        <a:xfrm>
          <a:off x="9295130" y="2467610"/>
          <a:ext cx="4400550" cy="1029970"/>
        </a:xfrm>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4.002500000000003" customHeight="1"/>
  <cols>
    <col min="1" max="1" width="10.998046875" customWidth="1" style="548"/>
    <col min="2" max="2" width="24.1640625" customWidth="1" style="548"/>
    <col min="3" max="3" width="30.1640625" customWidth="1" style="548"/>
    <col min="4" max="5" width="16.3330078125" customWidth="1" style="548"/>
    <col min="6" max="6" width="12.9990234375" customWidth="1" style="548"/>
    <col min="7" max="7" width="19.8310546875" customWidth="1" style="548"/>
    <col min="8" max="8" width="12.6650390625" style="548"/>
    <col min="13" max="13" width="12.83203125" style="548"/>
  </cols>
  <sheetData>
    <row r="1" ht="14.002500000000003" customHeight="1">
      <c r="A1" s="82"/>
      <c r="B1" s="333"/>
      <c r="C1" s="336" t="s">
        <v>0</v>
      </c>
      <c r="D1" s="336"/>
      <c r="E1" s="336"/>
      <c r="F1" s="336"/>
      <c r="G1" s="82"/>
    </row>
    <row r="2" ht="21" customHeight="1">
      <c r="A2" s="82"/>
      <c r="B2" s="334"/>
      <c r="C2" s="336"/>
      <c r="D2" s="336"/>
      <c r="E2" s="336"/>
      <c r="F2" s="336"/>
      <c r="G2" s="82"/>
    </row>
    <row r="3" ht="14.002500000000003" customHeight="1">
      <c r="A3" s="82"/>
      <c r="B3" s="337" t="s">
        <v>1</v>
      </c>
      <c r="C3" s="337"/>
      <c r="D3" s="337"/>
      <c r="E3" s="298"/>
      <c r="F3" s="299"/>
      <c r="G3" s="82"/>
    </row>
    <row r="4" ht="14.002500000000003" customHeight="1">
      <c r="A4" s="338" t="s">
        <v>2</v>
      </c>
      <c r="B4" s="339"/>
      <c r="C4" s="339"/>
      <c r="D4" s="339"/>
      <c r="E4" s="339"/>
      <c r="F4" s="339"/>
      <c r="G4" s="339"/>
      <c r="J4" s="340" t="s">
        <v>3</v>
      </c>
      <c r="K4" s="340"/>
      <c r="L4" s="340"/>
      <c r="S4" s="340" t="s">
        <v>4</v>
      </c>
      <c r="T4" s="340"/>
      <c r="U4" s="340"/>
    </row>
    <row r="5" ht="15" customHeight="1">
      <c r="A5" s="300" t="s">
        <v>5</v>
      </c>
      <c r="B5" s="300" t="s">
        <v>6</v>
      </c>
      <c r="C5" s="300" t="s">
        <v>7</v>
      </c>
      <c r="D5" s="301" t="s">
        <v>8</v>
      </c>
      <c r="E5" s="301" t="s">
        <v>9</v>
      </c>
      <c r="F5" s="301" t="s">
        <v>10</v>
      </c>
      <c r="G5" s="301" t="s">
        <v>11</v>
      </c>
    </row>
    <row r="6" ht="15" customHeight="1">
      <c r="A6" s="302" t="n">
        <v>1</v>
      </c>
      <c r="B6" s="287" t="s">
        <v>12</v>
      </c>
      <c r="C6" s="303" t="s">
        <v>13</v>
      </c>
      <c r="D6" s="92" t="n">
        <f>1.5+(F11/10000-1)*((6-1.5)/(5-1))</f>
        <v>0.7125</v>
      </c>
      <c r="E6" s="92" t="s">
        <v>14</v>
      </c>
      <c r="F6" s="304"/>
      <c r="G6" s="549" t="s">
        <v>15</v>
      </c>
    </row>
    <row r="7" ht="15" customHeight="1">
      <c r="A7" s="302" t="n">
        <v>1.1</v>
      </c>
      <c r="B7" s="287" t="s">
        <v>16</v>
      </c>
      <c r="C7" s="305" t="s">
        <v>17</v>
      </c>
      <c r="D7" s="306" t="n">
        <f>G60/10000</f>
        <v>28.4983</v>
      </c>
      <c r="E7" s="92" t="s">
        <v>18</v>
      </c>
      <c r="F7" s="287"/>
      <c r="G7" s="335"/>
    </row>
    <row r="8" ht="15" customHeight="1">
      <c r="A8" s="302" t="n">
        <v>1.2</v>
      </c>
      <c r="B8" s="287" t="s">
        <v>19</v>
      </c>
      <c r="C8" s="305" t="s">
        <v>20</v>
      </c>
      <c r="D8" s="306" t="n">
        <v>200</v>
      </c>
      <c r="E8" s="92" t="s">
        <v>21</v>
      </c>
      <c r="F8" s="304"/>
      <c r="G8" s="335"/>
    </row>
    <row r="9" ht="15" customHeight="1">
      <c r="A9" s="302" t="n">
        <v>1.3</v>
      </c>
      <c r="B9" s="287" t="s">
        <v>22</v>
      </c>
      <c r="C9" s="305" t="s">
        <v>23</v>
      </c>
      <c r="D9" s="306" t="n">
        <v>0.85</v>
      </c>
      <c r="E9" s="92"/>
      <c r="F9" s="304"/>
      <c r="G9" s="335"/>
    </row>
    <row r="10" ht="15" customHeight="1">
      <c r="A10" s="302" t="n">
        <v>1.4</v>
      </c>
      <c r="B10" s="287" t="s">
        <v>24</v>
      </c>
      <c r="C10" s="305" t="s">
        <v>25</v>
      </c>
      <c r="D10" s="306" t="n">
        <v>0.9</v>
      </c>
      <c r="E10" s="92"/>
      <c r="F10" s="304"/>
      <c r="G10" s="335"/>
    </row>
    <row r="11" ht="15" customHeight="1">
      <c r="A11" s="302" t="n">
        <v>1.5</v>
      </c>
      <c r="B11" s="287" t="s">
        <v>26</v>
      </c>
      <c r="C11" s="305"/>
      <c r="D11" s="92" t="n">
        <f>D7*D8*D9*D10*10000/1000</f>
        <v>43602.399</v>
      </c>
      <c r="E11" s="92" t="s">
        <v>27</v>
      </c>
      <c r="F11" s="307" t="n">
        <v>3000</v>
      </c>
      <c r="G11" s="335"/>
    </row>
    <row r="12" ht="15" customHeight="1">
      <c r="A12" s="302" t="n">
        <v>1.6</v>
      </c>
      <c r="B12" s="287" t="s">
        <v>28</v>
      </c>
      <c r="C12" s="308" t="s">
        <v>29</v>
      </c>
      <c r="D12" s="309" t="n">
        <v>0.75</v>
      </c>
      <c r="E12" s="304"/>
      <c r="F12" s="304"/>
      <c r="G12" s="335"/>
    </row>
    <row r="13" ht="15" customHeight="1">
      <c r="A13" s="302" t="n">
        <v>2</v>
      </c>
      <c r="B13" s="287" t="s">
        <v>30</v>
      </c>
      <c r="C13" s="303" t="s">
        <v>31</v>
      </c>
      <c r="D13" s="310" t="n">
        <f>800+(F15-0.1)*(2500-800)/(1-0.1)</f>
        <v>2122.22222222222</v>
      </c>
      <c r="E13" s="92" t="s">
        <v>32</v>
      </c>
      <c r="F13" s="287"/>
      <c r="G13" s="335"/>
    </row>
    <row r="14" ht="15" customHeight="1">
      <c r="A14" s="302" t="n">
        <v>2.1</v>
      </c>
      <c r="B14" s="287" t="s">
        <v>28</v>
      </c>
      <c r="C14" s="308" t="s">
        <v>29</v>
      </c>
      <c r="D14" s="311" t="n">
        <f>F28/D13</f>
        <v>0.848167539267017</v>
      </c>
      <c r="E14" s="304"/>
      <c r="F14" s="287"/>
      <c r="G14" s="335"/>
      <c r="I14" s="548" t="s">
        <v>33</v>
      </c>
    </row>
    <row r="15" ht="40" customHeight="1">
      <c r="A15" s="302" t="n">
        <v>2.2</v>
      </c>
      <c r="B15" s="287" t="s">
        <v>34</v>
      </c>
      <c r="C15" s="303" t="s">
        <v>31</v>
      </c>
      <c r="D15" s="312" t="n">
        <f>F11/(24*60*60)</f>
        <v>0.0347222222222222</v>
      </c>
      <c r="E15" s="313"/>
      <c r="F15" s="314" t="n">
        <v>0.8</v>
      </c>
      <c r="G15" s="335"/>
    </row>
    <row r="16" ht="14.002500000000003" customHeight="1">
      <c r="A16" s="341" t="s">
        <v>35</v>
      </c>
      <c r="B16" s="287" t="s">
        <v>36</v>
      </c>
      <c r="C16" s="287"/>
      <c r="D16" s="315"/>
      <c r="E16" s="304"/>
      <c r="F16" s="287" t="n">
        <f>F17+F28</f>
        <v>7143</v>
      </c>
      <c r="G16" s="82"/>
    </row>
    <row r="17" ht="17.5" customHeight="1">
      <c r="A17" s="92" t="n">
        <v>1</v>
      </c>
      <c r="B17" s="287" t="s">
        <v>37</v>
      </c>
      <c r="C17" s="316"/>
      <c r="D17" s="317"/>
      <c r="E17" s="92" t="s">
        <v>32</v>
      </c>
      <c r="F17" s="318" t="n">
        <f>INT(D6*10000*D12)</f>
        <v>5343</v>
      </c>
      <c r="G17" s="548" t="n">
        <v>0.157748453814758</v>
      </c>
      <c r="K17" s="340" t="s">
        <v>7</v>
      </c>
      <c r="L17" s="340"/>
      <c r="M17" s="340"/>
    </row>
    <row r="18" ht="14.002500000000003" customHeight="1">
      <c r="A18" s="341" t="n">
        <v>1.1</v>
      </c>
      <c r="B18" s="319" t="s">
        <v>38</v>
      </c>
      <c r="C18" s="305" t="s">
        <v>39</v>
      </c>
      <c r="D18" s="6"/>
      <c r="E18" s="92" t="s">
        <v>32</v>
      </c>
      <c r="F18" s="314" t="n">
        <v>6300</v>
      </c>
      <c r="G18" s="548" t="n">
        <f>F17*G17</f>
        <v>842.849988732252</v>
      </c>
    </row>
    <row r="19" ht="14.002500000000003" customHeight="1">
      <c r="A19" s="341" t="n">
        <v>1.2</v>
      </c>
      <c r="B19" s="319" t="s">
        <v>40</v>
      </c>
      <c r="C19" s="305" t="s">
        <v>39</v>
      </c>
      <c r="D19" s="6"/>
      <c r="E19" s="92" t="s">
        <v>32</v>
      </c>
      <c r="F19" s="314" t="n">
        <v>6300</v>
      </c>
      <c r="G19" s="548" t="n">
        <f>F17*G17</f>
        <v>842.849988732252</v>
      </c>
    </row>
    <row r="20" ht="14.002500000000003" customHeight="1">
      <c r="A20" s="341" t="n">
        <v>1.3</v>
      </c>
      <c r="B20" s="319" t="s">
        <v>41</v>
      </c>
      <c r="C20" s="305" t="s">
        <v>39</v>
      </c>
      <c r="D20" s="6"/>
      <c r="E20" s="92" t="s">
        <v>32</v>
      </c>
      <c r="F20" s="314" t="n">
        <v>6300</v>
      </c>
      <c r="G20" s="548" t="n">
        <f>F17*G17</f>
        <v>842.849988732252</v>
      </c>
    </row>
    <row r="21" ht="14.002500000000003" customHeight="1">
      <c r="A21" s="341" t="n">
        <v>1.4</v>
      </c>
      <c r="B21" s="320" t="s">
        <v>42</v>
      </c>
      <c r="C21" s="305" t="s">
        <v>39</v>
      </c>
      <c r="D21" s="6"/>
      <c r="E21" s="92" t="s">
        <v>32</v>
      </c>
      <c r="F21" s="314" t="n">
        <v>3800</v>
      </c>
      <c r="G21" s="548" t="n">
        <f>F17*H21</f>
        <v>508.385707489296</v>
      </c>
      <c r="H21" s="548" t="n">
        <v>0.095149861031124</v>
      </c>
    </row>
    <row r="22" ht="14.002500000000003" customHeight="1">
      <c r="A22" s="341" t="n">
        <v>1.5</v>
      </c>
      <c r="B22" s="319" t="s">
        <v>43</v>
      </c>
      <c r="C22" s="305" t="s">
        <v>39</v>
      </c>
      <c r="D22" s="6"/>
      <c r="E22" s="92" t="s">
        <v>32</v>
      </c>
      <c r="F22" s="314" t="n">
        <v>3800</v>
      </c>
      <c r="G22" s="548" t="n">
        <f>F17*H21</f>
        <v>508.385707489296</v>
      </c>
    </row>
    <row r="23" ht="14.002500000000003" customHeight="1">
      <c r="A23" s="341" t="n">
        <v>1.6</v>
      </c>
      <c r="B23" s="319" t="s">
        <v>44</v>
      </c>
      <c r="C23" s="305" t="s">
        <v>39</v>
      </c>
      <c r="D23" s="341"/>
      <c r="E23" s="92" t="s">
        <v>32</v>
      </c>
      <c r="F23" s="314" t="n">
        <v>3100</v>
      </c>
      <c r="G23" s="548" t="n">
        <f>F17*H23</f>
        <v>414.735708741267</v>
      </c>
      <c r="H23" s="548" t="n">
        <v>0.0776222550517064</v>
      </c>
    </row>
    <row r="24" ht="14.002500000000003" customHeight="1">
      <c r="A24" s="341" t="n">
        <v>1.7</v>
      </c>
      <c r="B24" s="319" t="s">
        <v>45</v>
      </c>
      <c r="C24" s="305" t="s">
        <v>39</v>
      </c>
      <c r="D24" s="341"/>
      <c r="E24" s="92" t="s">
        <v>32</v>
      </c>
      <c r="F24" s="314" t="n">
        <v>3100</v>
      </c>
      <c r="G24" s="548" t="n">
        <f>F17*H23</f>
        <v>414.735708741267</v>
      </c>
    </row>
    <row r="25" ht="14.002500000000003" customHeight="1">
      <c r="A25" s="341" t="n">
        <v>1.8</v>
      </c>
      <c r="B25" s="319" t="s">
        <v>46</v>
      </c>
      <c r="C25" s="305" t="s">
        <v>39</v>
      </c>
      <c r="D25" s="341"/>
      <c r="E25" s="92" t="s">
        <v>32</v>
      </c>
      <c r="F25" s="314" t="n">
        <v>3600</v>
      </c>
      <c r="G25" s="548" t="n">
        <f>F17*H25</f>
        <v>481.628564989859</v>
      </c>
      <c r="H25" s="548" t="n">
        <v>0.0901419736084333</v>
      </c>
    </row>
    <row r="26" ht="14.002500000000003" customHeight="1">
      <c r="A26" s="341" t="n">
        <v>1.9</v>
      </c>
      <c r="B26" s="319" t="s">
        <v>47</v>
      </c>
      <c r="C26" s="321" t="s">
        <v>48</v>
      </c>
      <c r="D26" s="341"/>
      <c r="E26" s="92" t="s">
        <v>32</v>
      </c>
      <c r="F26" s="284" t="n">
        <f>F17-SUM(G18:G25)</f>
        <v>486.57863635226</v>
      </c>
      <c r="G26" s="548" t="n">
        <f>F16*0.15</f>
        <v>1071.45</v>
      </c>
    </row>
    <row r="27" s="99" customFormat="1" ht="14.002500000000003" customHeight="1">
      <c r="A27" s="101" t="n">
        <v>2</v>
      </c>
      <c r="B27" s="322" t="s">
        <v>49</v>
      </c>
      <c r="C27" s="283" t="s">
        <v>50</v>
      </c>
      <c r="D27" s="323" t="n">
        <v>0.3</v>
      </c>
      <c r="E27" s="90" t="s">
        <v>32</v>
      </c>
      <c r="F27" s="324" t="n">
        <f>INT(D6*10000*D27)</f>
        <v>2137</v>
      </c>
      <c r="K27" s="12"/>
      <c r="L27" s="12"/>
    </row>
    <row r="28" s="99" customFormat="1" ht="14.002500000000003" customHeight="1">
      <c r="A28" s="101" t="n">
        <v>3</v>
      </c>
      <c r="B28" s="322" t="s">
        <v>51</v>
      </c>
      <c r="C28" s="283"/>
      <c r="D28" s="101"/>
      <c r="E28" s="90" t="s">
        <v>32</v>
      </c>
      <c r="F28" s="324" t="n">
        <v>1800</v>
      </c>
      <c r="K28" s="332" t="s">
        <v>28</v>
      </c>
      <c r="L28" s="332"/>
    </row>
    <row r="29" s="99" customFormat="1" ht="14.002500000000003" customHeight="1">
      <c r="A29" s="101" t="n">
        <v>4</v>
      </c>
      <c r="B29" s="322" t="s">
        <v>52</v>
      </c>
      <c r="C29" s="305"/>
      <c r="D29" s="101"/>
      <c r="E29" s="288" t="s">
        <v>53</v>
      </c>
      <c r="F29" s="324" t="n">
        <f>F30</f>
        <v>3.6</v>
      </c>
    </row>
    <row r="30" ht="14.002500000000003" customHeight="1">
      <c r="A30" s="341" t="n">
        <v>4.1</v>
      </c>
      <c r="B30" s="319" t="s">
        <v>54</v>
      </c>
      <c r="C30" s="305" t="s">
        <v>39</v>
      </c>
      <c r="D30" s="341"/>
      <c r="E30" s="284" t="s">
        <v>53</v>
      </c>
      <c r="F30" s="284" t="n">
        <f>F31+F32+F33</f>
        <v>3.6</v>
      </c>
    </row>
    <row r="31" ht="15" customHeight="1">
      <c r="A31" s="341" t="s">
        <v>55</v>
      </c>
      <c r="B31" s="325" t="s">
        <v>56</v>
      </c>
      <c r="C31" s="305" t="s">
        <v>39</v>
      </c>
      <c r="D31" s="341"/>
      <c r="E31" s="284" t="s">
        <v>53</v>
      </c>
      <c r="F31" s="314" t="n">
        <v>1.2</v>
      </c>
    </row>
    <row r="32" ht="15" customHeight="1">
      <c r="A32" s="341" t="s">
        <v>57</v>
      </c>
      <c r="B32" s="325" t="s">
        <v>58</v>
      </c>
      <c r="C32" s="305" t="s">
        <v>39</v>
      </c>
      <c r="D32" s="341"/>
      <c r="E32" s="284" t="s">
        <v>53</v>
      </c>
      <c r="F32" s="314" t="n">
        <v>1.3</v>
      </c>
    </row>
    <row r="33" ht="15" customHeight="1">
      <c r="A33" s="341" t="s">
        <v>59</v>
      </c>
      <c r="B33" s="325" t="s">
        <v>60</v>
      </c>
      <c r="C33" s="305" t="s">
        <v>39</v>
      </c>
      <c r="D33" s="341"/>
      <c r="E33" s="284" t="s">
        <v>53</v>
      </c>
      <c r="F33" s="314" t="n">
        <v>1.1</v>
      </c>
    </row>
    <row r="34" ht="14.002500000000003" customHeight="1">
      <c r="A34" s="341" t="n">
        <v>4.2</v>
      </c>
      <c r="B34" s="319" t="s">
        <v>61</v>
      </c>
      <c r="C34" s="305" t="s">
        <v>62</v>
      </c>
      <c r="D34" s="307" t="n">
        <v>40</v>
      </c>
      <c r="E34" s="341" t="s">
        <v>63</v>
      </c>
      <c r="F34" s="341" t="n">
        <f>F30*1000/D34</f>
        <v>90</v>
      </c>
    </row>
    <row r="42" ht="14.002500000000003" customHeight="1">
      <c r="I42" s="548" t="s">
        <v>64</v>
      </c>
    </row>
    <row r="50" ht="14.002500000000003" customHeight="1">
      <c r="E50" s="326" t="n">
        <v>36573</v>
      </c>
      <c r="F50" s="326" t="n">
        <v>24368</v>
      </c>
      <c r="G50" s="548" t="n">
        <v>42477</v>
      </c>
    </row>
    <row r="51" ht="14.002500000000003" customHeight="1">
      <c r="E51" s="326" t="n">
        <v>31338</v>
      </c>
      <c r="F51" s="326" t="n">
        <v>19132</v>
      </c>
      <c r="G51" s="548" t="n">
        <v>29008</v>
      </c>
    </row>
    <row r="52" ht="14.002500000000003" customHeight="1">
      <c r="E52" s="326" t="n">
        <v>27783</v>
      </c>
      <c r="F52" s="326" t="n">
        <v>18504</v>
      </c>
      <c r="G52" s="548" t="n">
        <v>34226</v>
      </c>
    </row>
    <row r="53" ht="14.002500000000003" customHeight="1">
      <c r="E53" s="326" t="n">
        <v>31264</v>
      </c>
      <c r="F53" s="326" t="n">
        <v>27490</v>
      </c>
      <c r="G53" s="548" t="n">
        <v>38580</v>
      </c>
    </row>
    <row r="54" ht="14.002500000000003" customHeight="1">
      <c r="E54" s="326" t="n">
        <v>16007</v>
      </c>
      <c r="F54" s="326" t="n">
        <v>6259</v>
      </c>
      <c r="G54" s="548" t="n">
        <v>14591</v>
      </c>
    </row>
    <row r="55" ht="14.002500000000003" customHeight="1">
      <c r="E55" s="326" t="n">
        <v>10649</v>
      </c>
      <c r="F55" s="326" t="n">
        <v>8510</v>
      </c>
      <c r="G55" s="548" t="n">
        <v>14010</v>
      </c>
    </row>
    <row r="56" ht="14.002500000000003" customHeight="1">
      <c r="E56" s="326" t="n">
        <v>17935</v>
      </c>
      <c r="F56" s="326" t="n">
        <v>16414</v>
      </c>
      <c r="G56" s="548" t="n">
        <v>24144</v>
      </c>
    </row>
    <row r="57" ht="14.002500000000003" customHeight="1">
      <c r="E57" s="326" t="n">
        <v>18586</v>
      </c>
      <c r="F57" s="326" t="n">
        <v>16323</v>
      </c>
      <c r="G57" s="548" t="n">
        <v>40074</v>
      </c>
    </row>
    <row r="58" ht="14.002500000000003" customHeight="1">
      <c r="E58" s="326" t="n">
        <v>12149</v>
      </c>
      <c r="F58" s="326" t="n">
        <v>9862</v>
      </c>
      <c r="G58" s="548" t="n">
        <v>15002</v>
      </c>
    </row>
    <row r="59" ht="14.002500000000003" customHeight="1">
      <c r="E59" s="326" t="n">
        <v>25757</v>
      </c>
      <c r="F59" s="326" t="n">
        <v>19966</v>
      </c>
      <c r="G59" s="548" t="n">
        <v>32871</v>
      </c>
    </row>
    <row r="60" ht="14.002500000000003" customHeight="1">
      <c r="E60" s="548" t="n">
        <f>SUM(E50:E59)</f>
        <v>228041</v>
      </c>
      <c r="F60" s="548" t="n">
        <f>SUM(F50:F59)</f>
        <v>166828</v>
      </c>
      <c r="G60" s="548" t="n">
        <f>SUM(G50:G59)</f>
        <v>284983</v>
      </c>
    </row>
  </sheetData>
  <mergeCells count="9">
    <mergeCell ref="B1:B2"/>
    <mergeCell ref="C1:F2"/>
    <mergeCell ref="S4:U4"/>
    <mergeCell ref="B3:D3"/>
    <mergeCell ref="K17:M17"/>
    <mergeCell ref="A4:G4"/>
    <mergeCell ref="K28:L28"/>
    <mergeCell ref="J4:L4"/>
    <mergeCell ref="G6:G1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7CAAC"/>
    <outlinePr summaryBelow="0" summaryRight="0"/>
  </sheetPr>
  <dimension ref="A1"/>
  <sheetViews>
    <sheetView workbookViewId="0"/>
  </sheetViews>
  <sheetFormatPr baseColWidth="10" defaultColWidth="9" defaultRowHeight="14.002500000000003" customHeight="1"/>
  <cols>
    <col min="2" max="2" width="27.498046875" customWidth="1" style="548"/>
    <col min="3" max="3" width="11.4990234375" customWidth="1" style="548"/>
    <col min="4" max="4" width="13.166015625" customWidth="1" style="548"/>
    <col min="5" max="5" width="10.166015625" customWidth="1" style="548"/>
    <col min="7" max="7" width="5.666015625" customWidth="1" style="548"/>
    <col min="8" max="8" width="8.8330078125" customWidth="1" style="548"/>
    <col min="9" max="9" width="15.6650390625" customWidth="1" style="548"/>
    <col min="10" max="10" width="9.6650390625" customWidth="1" style="548"/>
    <col min="11" max="11" width="13.998046875" customWidth="1" style="548"/>
    <col min="12" max="12" width="11.8330078125" customWidth="1" style="548"/>
    <col min="13" max="13" width="13.998046875" customWidth="1" style="548"/>
    <col min="14" max="14" width="11.8330078125" customWidth="1" style="548"/>
    <col min="15" max="16" width="13.998046875" customWidth="1" style="548"/>
    <col min="17" max="17" width="11.8330078125" customWidth="1" style="548"/>
  </cols>
  <sheetData>
    <row r="1" ht="14.4" customHeight="1">
      <c r="A1" s="285" t="s">
        <v>5</v>
      </c>
      <c r="B1" s="285" t="s">
        <v>65</v>
      </c>
      <c r="C1" s="285" t="s">
        <v>9</v>
      </c>
      <c r="D1" s="285" t="s">
        <v>66</v>
      </c>
      <c r="E1" s="285" t="s">
        <v>11</v>
      </c>
    </row>
    <row r="2" ht="14.002500000000003" customHeight="1">
      <c r="A2" s="286" t="s">
        <v>35</v>
      </c>
      <c r="B2" s="343" t="s">
        <v>67</v>
      </c>
      <c r="C2" s="343"/>
      <c r="D2" s="343"/>
      <c r="E2" s="343"/>
    </row>
    <row r="3" ht="15" customHeight="1">
      <c r="A3" s="6"/>
      <c r="B3" s="287" t="s">
        <v>36</v>
      </c>
      <c r="C3" s="288"/>
      <c r="D3" s="289" t="n">
        <f>D4+D15</f>
        <v>7200</v>
      </c>
      <c r="E3" s="288"/>
    </row>
    <row r="4" s="99" customFormat="1" ht="15" customHeight="1">
      <c r="A4" s="90" t="n">
        <f>'标准化指标设定'!A17</f>
        <v>1</v>
      </c>
      <c r="B4" s="287" t="s">
        <f>'标准化指标设定'!B17</f>
        <v>37</v>
      </c>
      <c r="C4" s="290" t="s">
        <f>'标准化指标设定'!E17</f>
        <v>32</v>
      </c>
      <c r="D4" s="288" t="n">
        <f>SUM(D5:D13)</f>
        <v>5200</v>
      </c>
      <c r="E4" s="288"/>
      <c r="F4" s="548"/>
      <c r="G4" s="548"/>
      <c r="H4" s="548"/>
      <c r="I4" s="548"/>
      <c r="J4" s="548"/>
      <c r="K4" s="548"/>
      <c r="L4" s="548"/>
      <c r="M4" s="548"/>
      <c r="N4" s="548"/>
      <c r="O4" s="548"/>
      <c r="P4" s="548"/>
      <c r="Q4" s="548"/>
      <c r="R4" s="548"/>
      <c r="S4" s="548"/>
      <c r="T4" s="548"/>
    </row>
    <row r="5" ht="15" customHeight="1">
      <c r="A5" s="92" t="n">
        <f>'标准化指标设定'!A18</f>
        <v>1.1</v>
      </c>
      <c r="B5" s="291" t="s">
        <f>'标准化指标设定'!B18</f>
        <v>38</v>
      </c>
      <c r="C5" s="292" t="s">
        <f>'标准化指标设定'!E18</f>
        <v>32</v>
      </c>
      <c r="D5" s="284" t="n">
        <v>800</v>
      </c>
      <c r="E5" s="284"/>
    </row>
    <row r="6" ht="15" customHeight="1">
      <c r="A6" s="92" t="n">
        <f>'标准化指标设定'!A19</f>
        <v>1.2</v>
      </c>
      <c r="B6" s="291" t="s">
        <f>'标准化指标设定'!B19</f>
        <v>40</v>
      </c>
      <c r="C6" s="292" t="s">
        <f>'标准化指标设定'!E19</f>
        <v>32</v>
      </c>
      <c r="D6" s="284" t="n">
        <v>800</v>
      </c>
      <c r="E6" s="284"/>
    </row>
    <row r="7" ht="15" customHeight="1">
      <c r="A7" s="92" t="n">
        <f>'标准化指标设定'!A20</f>
        <v>1.3</v>
      </c>
      <c r="B7" s="291" t="s">
        <f>'标准化指标设定'!B20</f>
        <v>41</v>
      </c>
      <c r="C7" s="292" t="s">
        <f>'标准化指标设定'!E20</f>
        <v>32</v>
      </c>
      <c r="D7" s="284" t="n">
        <v>800</v>
      </c>
      <c r="E7" s="288"/>
    </row>
    <row r="8" ht="15" customHeight="1">
      <c r="A8" s="92" t="n">
        <f>'标准化指标设定'!A21</f>
        <v>1.4</v>
      </c>
      <c r="B8" s="291" t="s">
        <f>'标准化指标设定'!B21</f>
        <v>68</v>
      </c>
      <c r="C8" s="292" t="s">
        <f>'标准化指标设定'!E21</f>
        <v>32</v>
      </c>
      <c r="D8" s="284" t="n">
        <v>500</v>
      </c>
      <c r="E8" s="288"/>
      <c r="G8" s="341" t="s">
        <v>69</v>
      </c>
      <c r="H8" s="341" t="s">
        <v>70</v>
      </c>
      <c r="I8" s="341" t="s">
        <v>71</v>
      </c>
      <c r="J8" s="341"/>
      <c r="K8" s="344" t="s">
        <v>72</v>
      </c>
      <c r="L8" s="345"/>
      <c r="M8" s="341" t="s">
        <v>73</v>
      </c>
    </row>
    <row r="9" ht="15" customHeight="1">
      <c r="A9" s="92" t="n">
        <f>'标准化指标设定'!A22</f>
        <v>1.5</v>
      </c>
      <c r="B9" s="291" t="s">
        <f>'标准化指标设定'!B22</f>
        <v>43</v>
      </c>
      <c r="C9" s="292" t="s">
        <f>'标准化指标设定'!E22</f>
        <v>32</v>
      </c>
      <c r="D9" s="284" t="n">
        <v>500</v>
      </c>
      <c r="E9" s="288"/>
      <c r="G9" s="341"/>
      <c r="H9" s="341"/>
      <c r="I9" s="341" t="s">
        <v>74</v>
      </c>
      <c r="J9" s="341" t="s">
        <v>75</v>
      </c>
      <c r="K9" s="341" t="s">
        <v>74</v>
      </c>
      <c r="L9" s="46" t="s">
        <v>75</v>
      </c>
      <c r="M9" s="341"/>
    </row>
    <row r="10" ht="15" customHeight="1">
      <c r="A10" s="92" t="n">
        <f>'标准化指标设定'!A23</f>
        <v>1.6</v>
      </c>
      <c r="B10" s="291" t="s">
        <f>'标准化指标设定'!B23</f>
        <v>44</v>
      </c>
      <c r="C10" s="292" t="s">
        <f>'标准化指标设定'!E23</f>
        <v>32</v>
      </c>
      <c r="D10" s="284" t="n">
        <v>400</v>
      </c>
      <c r="E10" s="288"/>
      <c r="G10" s="341"/>
      <c r="H10" s="341"/>
      <c r="I10" s="341" t="n">
        <v>1</v>
      </c>
      <c r="J10" s="341" t="n">
        <v>4000</v>
      </c>
      <c r="K10" s="341" t="n">
        <v>3</v>
      </c>
      <c r="L10" s="46" t="n">
        <v>3500</v>
      </c>
      <c r="M10" s="15" t="n">
        <v>0.1</v>
      </c>
    </row>
    <row r="11" ht="15" customHeight="1">
      <c r="A11" s="92" t="n">
        <f>'标准化指标设定'!A24</f>
        <v>1.7</v>
      </c>
      <c r="B11" s="291" t="s">
        <f>'标准化指标设定'!B24</f>
        <v>45</v>
      </c>
      <c r="C11" s="292" t="s">
        <f>'标准化指标设定'!E24</f>
        <v>32</v>
      </c>
      <c r="D11" s="284" t="n">
        <v>400</v>
      </c>
      <c r="E11" s="288"/>
    </row>
    <row r="12" ht="15" customHeight="1">
      <c r="A12" s="92" t="n">
        <f>'标准化指标设定'!A25</f>
        <v>1.8</v>
      </c>
      <c r="B12" s="291" t="s">
        <f>'标准化指标设定'!B25</f>
        <v>46</v>
      </c>
      <c r="C12" s="292" t="s">
        <f>'标准化指标设定'!E25</f>
        <v>32</v>
      </c>
      <c r="D12" s="284" t="n">
        <v>500</v>
      </c>
      <c r="E12" s="284"/>
    </row>
    <row r="13" ht="15" customHeight="1">
      <c r="A13" s="92" t="n">
        <f>'标准化指标设定'!A26</f>
        <v>1.9</v>
      </c>
      <c r="B13" s="291" t="s">
        <f>'标准化指标设定'!B26</f>
        <v>47</v>
      </c>
      <c r="C13" s="292" t="s">
        <f>'标准化指标设定'!E26</f>
        <v>32</v>
      </c>
      <c r="D13" s="284" t="n">
        <v>500</v>
      </c>
      <c r="E13" s="284"/>
    </row>
    <row r="14" s="99" customFormat="1" ht="15" customHeight="1">
      <c r="A14" s="90" t="n">
        <f>'标准化指标设定'!A27</f>
        <v>2</v>
      </c>
      <c r="B14" s="287" t="s">
        <f>'标准化指标设定'!B27</f>
        <v>49</v>
      </c>
      <c r="C14" s="290" t="s">
        <f>'标准化指标设定'!E27</f>
        <v>32</v>
      </c>
      <c r="D14" s="288" t="n">
        <v>2000</v>
      </c>
      <c r="E14" s="288"/>
    </row>
    <row r="15" s="99" customFormat="1" ht="15" customHeight="1">
      <c r="A15" s="90" t="n">
        <f>'标准化指标设定'!A28</f>
        <v>3</v>
      </c>
      <c r="B15" s="287" t="s">
        <f>'标准化指标设定'!B28</f>
        <v>51</v>
      </c>
      <c r="C15" s="290" t="s">
        <f>'标准化指标设定'!E28</f>
        <v>32</v>
      </c>
      <c r="D15" s="288" t="n">
        <v>2000</v>
      </c>
      <c r="E15" s="288"/>
    </row>
    <row r="16" s="99" customFormat="1" ht="15" customHeight="1">
      <c r="A16" s="90" t="n">
        <f>'标准化指标设定'!A29</f>
        <v>4</v>
      </c>
      <c r="B16" s="287" t="s">
        <f>'标准化指标设定'!B29</f>
        <v>52</v>
      </c>
      <c r="C16" s="290" t="s">
        <f>'标准化指标设定'!E29</f>
        <v>53</v>
      </c>
      <c r="D16" s="288" t="n">
        <f>'标准化指标设定'!F29</f>
        <v>3.6</v>
      </c>
      <c r="E16" s="288"/>
      <c r="H16" s="550" t="s">
        <v>76</v>
      </c>
      <c r="I16" s="340"/>
      <c r="J16" s="340"/>
      <c r="K16" s="340"/>
      <c r="L16" s="340"/>
    </row>
    <row r="17" ht="15" customHeight="1">
      <c r="A17" s="92" t="n">
        <f>'标准化指标设定'!A30</f>
        <v>4.1</v>
      </c>
      <c r="B17" s="291" t="s">
        <f>'标准化指标设定'!B30</f>
        <v>54</v>
      </c>
      <c r="C17" s="292" t="s">
        <f>'标准化指标设定'!E30</f>
        <v>53</v>
      </c>
      <c r="D17" s="284" t="n">
        <f>'标准化指标设定'!F30</f>
        <v>3.6</v>
      </c>
      <c r="E17" s="284"/>
      <c r="H17" s="340"/>
      <c r="I17" s="340"/>
      <c r="J17" s="340"/>
      <c r="K17" s="340"/>
      <c r="L17" s="340"/>
    </row>
    <row r="18" ht="15" customHeight="1">
      <c r="A18" s="92" t="s">
        <f>'标准化指标设定'!A31</f>
        <v>55</v>
      </c>
      <c r="B18" s="291" t="s">
        <f>'标准化指标设定'!B31</f>
        <v>56</v>
      </c>
      <c r="C18" s="292" t="s">
        <f>'标准化指标设定'!E31</f>
        <v>53</v>
      </c>
      <c r="D18" s="284" t="n">
        <f>'标准化指标设定'!F31</f>
        <v>1.2</v>
      </c>
      <c r="E18" s="284"/>
      <c r="H18" s="340"/>
      <c r="I18" s="340"/>
      <c r="J18" s="340"/>
      <c r="K18" s="340"/>
      <c r="L18" s="340"/>
    </row>
    <row r="19" ht="15" customHeight="1">
      <c r="A19" s="92" t="s">
        <f>'标准化指标设定'!A32</f>
        <v>57</v>
      </c>
      <c r="B19" s="291" t="s">
        <f>'标准化指标设定'!B32</f>
        <v>58</v>
      </c>
      <c r="C19" s="292" t="s">
        <f>'标准化指标设定'!E32</f>
        <v>53</v>
      </c>
      <c r="D19" s="284" t="n">
        <f>'标准化指标设定'!F32</f>
        <v>1.3</v>
      </c>
      <c r="E19" s="284"/>
      <c r="H19" s="340"/>
      <c r="I19" s="340"/>
      <c r="J19" s="340"/>
      <c r="K19" s="340"/>
      <c r="L19" s="340"/>
    </row>
    <row r="20" ht="15" customHeight="1">
      <c r="A20" s="92" t="s">
        <f>'标准化指标设定'!A33</f>
        <v>59</v>
      </c>
      <c r="B20" s="291" t="s">
        <f>'标准化指标设定'!B33</f>
        <v>60</v>
      </c>
      <c r="C20" s="292" t="s">
        <f>'标准化指标设定'!E33</f>
        <v>53</v>
      </c>
      <c r="D20" s="284" t="n">
        <f>'标准化指标设定'!F33</f>
        <v>1.1</v>
      </c>
      <c r="E20" s="284"/>
      <c r="H20" s="340"/>
      <c r="I20" s="340"/>
      <c r="J20" s="340"/>
      <c r="K20" s="340"/>
      <c r="L20" s="340"/>
    </row>
    <row r="21" ht="15" customHeight="1">
      <c r="A21" s="92" t="n">
        <f>'标准化指标设定'!A34</f>
        <v>4.2</v>
      </c>
      <c r="B21" s="291" t="s">
        <f>'标准化指标设定'!B34</f>
        <v>61</v>
      </c>
      <c r="C21" s="292" t="s">
        <f>'标准化指标设定'!E34</f>
        <v>63</v>
      </c>
      <c r="D21" s="284" t="n">
        <f>'标准化指标设定'!F34</f>
        <v>90</v>
      </c>
      <c r="E21" s="284"/>
      <c r="H21" s="340"/>
      <c r="I21" s="340"/>
      <c r="J21" s="340"/>
      <c r="K21" s="340"/>
      <c r="L21" s="340"/>
    </row>
    <row r="22" ht="15" customHeight="1">
      <c r="A22" s="90" t="n">
        <v>5</v>
      </c>
      <c r="B22" s="287" t="s">
        <v>77</v>
      </c>
      <c r="C22" s="290" t="s">
        <v>78</v>
      </c>
      <c r="D22" s="288" t="n">
        <f>D23</f>
        <v>8</v>
      </c>
      <c r="E22" s="284"/>
      <c r="H22" s="340"/>
      <c r="I22" s="340"/>
      <c r="J22" s="340"/>
      <c r="K22" s="340"/>
      <c r="L22" s="340"/>
    </row>
    <row r="23" ht="14.002500000000003" customHeight="1">
      <c r="A23" s="92" t="n">
        <v>5.1</v>
      </c>
      <c r="B23" s="291" t="s">
        <v>54</v>
      </c>
      <c r="C23" s="92" t="s">
        <v>53</v>
      </c>
      <c r="D23" s="291" t="n">
        <f>SUM(D24:D26)</f>
        <v>8</v>
      </c>
      <c r="E23" s="92"/>
      <c r="H23" s="340"/>
      <c r="I23" s="340"/>
      <c r="J23" s="340"/>
      <c r="K23" s="340"/>
      <c r="L23" s="340"/>
    </row>
    <row r="24" ht="14.002500000000003" customHeight="1">
      <c r="A24" s="92" t="s">
        <v>79</v>
      </c>
      <c r="B24" s="291" t="s">
        <v>56</v>
      </c>
      <c r="C24" s="92" t="s">
        <v>53</v>
      </c>
      <c r="D24" s="291" t="n">
        <v>2.6</v>
      </c>
      <c r="E24" s="92"/>
      <c r="H24" s="340"/>
      <c r="I24" s="340"/>
      <c r="J24" s="340"/>
      <c r="K24" s="340"/>
      <c r="L24" s="340"/>
    </row>
    <row r="25" ht="14.002500000000003" customHeight="1">
      <c r="A25" s="92" t="s">
        <v>80</v>
      </c>
      <c r="B25" s="291" t="s">
        <v>58</v>
      </c>
      <c r="C25" s="92" t="s">
        <v>53</v>
      </c>
      <c r="D25" s="291" t="n">
        <v>2.8</v>
      </c>
      <c r="E25" s="92"/>
      <c r="H25" s="340"/>
      <c r="I25" s="340"/>
      <c r="J25" s="340"/>
      <c r="K25" s="340"/>
      <c r="L25" s="340"/>
    </row>
    <row r="26" ht="14.002500000000003" customHeight="1">
      <c r="A26" s="92" t="s">
        <v>81</v>
      </c>
      <c r="B26" s="291" t="s">
        <v>60</v>
      </c>
      <c r="C26" s="92" t="s">
        <v>53</v>
      </c>
      <c r="D26" s="291" t="n">
        <v>2.6</v>
      </c>
      <c r="E26" s="92"/>
      <c r="H26" s="340"/>
      <c r="I26" s="340"/>
      <c r="J26" s="340"/>
      <c r="K26" s="340"/>
      <c r="L26" s="340"/>
    </row>
    <row r="27" ht="15" customHeight="1">
      <c r="A27" s="92" t="n">
        <v>5.2</v>
      </c>
      <c r="B27" s="291" t="s">
        <v>61</v>
      </c>
      <c r="C27" s="292" t="s">
        <v>63</v>
      </c>
      <c r="D27" s="92" t="n">
        <v>200</v>
      </c>
      <c r="E27" s="92"/>
      <c r="H27" s="340"/>
      <c r="I27" s="340"/>
      <c r="J27" s="340"/>
      <c r="K27" s="340"/>
      <c r="L27" s="340"/>
    </row>
    <row r="28" ht="14.002500000000003" customHeight="1">
      <c r="A28" s="286" t="s">
        <v>82</v>
      </c>
      <c r="B28" s="343" t="s">
        <v>83</v>
      </c>
      <c r="C28" s="343"/>
      <c r="D28" s="343"/>
      <c r="E28" s="343"/>
      <c r="H28" s="340"/>
      <c r="I28" s="340"/>
      <c r="J28" s="340"/>
      <c r="K28" s="340"/>
      <c r="L28" s="340"/>
    </row>
    <row r="29" ht="14.002500000000003" customHeight="1">
      <c r="A29" s="288" t="n">
        <v>1</v>
      </c>
      <c r="B29" s="288" t="s">
        <v>84</v>
      </c>
      <c r="C29" s="288" t="s">
        <v>85</v>
      </c>
      <c r="D29" s="293" t="n">
        <f>'总投资估算'!G55</f>
        <v>5000</v>
      </c>
      <c r="E29" s="288"/>
      <c r="H29" s="340"/>
      <c r="I29" s="340"/>
      <c r="J29" s="340"/>
      <c r="K29" s="340"/>
      <c r="L29" s="340"/>
    </row>
    <row r="30" ht="14.002500000000003" customHeight="1">
      <c r="A30" s="284" t="n">
        <v>1.1</v>
      </c>
      <c r="B30" s="284" t="s">
        <v>86</v>
      </c>
      <c r="C30" s="284" t="s">
        <v>85</v>
      </c>
      <c r="D30" s="294" t="n">
        <f>D31+D32</f>
        <v>3992.88</v>
      </c>
      <c r="E30" s="284"/>
      <c r="H30" s="340"/>
      <c r="I30" s="340"/>
      <c r="J30" s="340"/>
      <c r="K30" s="340"/>
      <c r="L30" s="340"/>
    </row>
    <row r="31" ht="14.002500000000003" customHeight="1">
      <c r="A31" s="284" t="s">
        <v>87</v>
      </c>
      <c r="B31" s="284" t="s">
        <v>88</v>
      </c>
      <c r="C31" s="284" t="s">
        <v>85</v>
      </c>
      <c r="D31" s="294" t="n">
        <f>'总投资估算'!C3+'总投资估算'!D3</f>
        <v>3427.98</v>
      </c>
      <c r="E31" s="284"/>
    </row>
    <row r="32" ht="14.002500000000003" customHeight="1">
      <c r="A32" s="284" t="s">
        <v>89</v>
      </c>
      <c r="B32" s="284" t="s">
        <v>90</v>
      </c>
      <c r="C32" s="284" t="s">
        <v>85</v>
      </c>
      <c r="D32" s="294" t="n">
        <f>'总投资估算'!E3</f>
        <v>564.9</v>
      </c>
      <c r="E32" s="284"/>
    </row>
    <row r="33" ht="14.002500000000003" customHeight="1">
      <c r="A33" s="284" t="n">
        <v>1.2</v>
      </c>
      <c r="B33" s="284" t="s">
        <v>91</v>
      </c>
      <c r="C33" s="284" t="s">
        <v>85</v>
      </c>
      <c r="D33" s="294" t="n">
        <f>'总投资估算'!G31</f>
        <v>559.82</v>
      </c>
      <c r="E33" s="284"/>
    </row>
    <row r="34" ht="14.002500000000003" customHeight="1">
      <c r="A34" s="284" t="n">
        <v>1.3</v>
      </c>
      <c r="B34" s="284" t="s">
        <v>92</v>
      </c>
      <c r="C34" s="284" t="s">
        <v>85</v>
      </c>
      <c r="D34" s="294" t="n">
        <f>'总投资估算'!G50</f>
        <v>348.3</v>
      </c>
      <c r="E34" s="284"/>
    </row>
    <row r="35" ht="14.002500000000003" customHeight="1">
      <c r="A35" s="284" t="n">
        <v>1.4</v>
      </c>
      <c r="B35" s="284" t="s">
        <v>93</v>
      </c>
      <c r="C35" s="284" t="s">
        <v>85</v>
      </c>
      <c r="D35" s="294" t="n">
        <f>'总投资估算'!G54</f>
        <v>99</v>
      </c>
      <c r="E35" s="284"/>
    </row>
    <row r="36" ht="14.002500000000003" customHeight="1">
      <c r="A36" s="288" t="n">
        <v>2</v>
      </c>
      <c r="B36" s="288" t="s">
        <v>94</v>
      </c>
      <c r="C36" s="288" t="s">
        <v>85</v>
      </c>
      <c r="D36" s="293" t="n">
        <f>SUM(D37:D38)</f>
        <v>5000</v>
      </c>
      <c r="E36" s="288"/>
    </row>
    <row r="37" ht="14.002500000000003" customHeight="1">
      <c r="A37" s="284" t="n">
        <v>2.1</v>
      </c>
      <c r="B37" s="284" t="s">
        <v>95</v>
      </c>
      <c r="C37" s="284" t="s">
        <v>85</v>
      </c>
      <c r="D37" s="294" t="n">
        <f>'分年计划及建设期利息'!G2</f>
        <v>2800</v>
      </c>
      <c r="E37" s="295" t="n">
        <f>D37/$D$36</f>
        <v>0.56</v>
      </c>
    </row>
    <row r="38" ht="14.002500000000003" customHeight="1">
      <c r="A38" s="284" t="n">
        <v>2.2</v>
      </c>
      <c r="B38" s="284" t="s">
        <v>96</v>
      </c>
      <c r="C38" s="284" t="s">
        <v>85</v>
      </c>
      <c r="D38" s="294" t="n">
        <f>'资金平衡表'!C36</f>
        <v>2200</v>
      </c>
      <c r="E38" s="295" t="n">
        <f>D38/$D$36</f>
        <v>0.44</v>
      </c>
    </row>
    <row r="39" ht="14.002500000000003" customHeight="1">
      <c r="A39" s="288" t="n">
        <v>3</v>
      </c>
      <c r="B39" s="288" t="s">
        <v>97</v>
      </c>
      <c r="C39" s="288" t="s">
        <v>85</v>
      </c>
      <c r="D39" s="293" t="n">
        <f>AVERAGE('收入成本'!P5:P34)</f>
        <v>369.939310344827</v>
      </c>
      <c r="E39" s="288"/>
    </row>
    <row r="40" ht="14.002500000000003" customHeight="1">
      <c r="A40" s="288" t="n">
        <v>4</v>
      </c>
      <c r="B40" s="288" t="s">
        <v>98</v>
      </c>
      <c r="C40" s="288" t="s">
        <v>85</v>
      </c>
      <c r="D40" s="293" t="n">
        <f>AVERAGE('收入成本'!Z5:Z34)</f>
        <v>5.11724137931035</v>
      </c>
      <c r="E40" s="288"/>
    </row>
    <row r="41" ht="14.002500000000003" customHeight="1">
      <c r="A41" s="288" t="n">
        <v>5</v>
      </c>
      <c r="B41" s="288" t="s">
        <v>99</v>
      </c>
      <c r="C41" s="288" t="s">
        <v>85</v>
      </c>
      <c r="D41" s="293" t="n">
        <f>'资金平衡表'!F36</f>
        <v>10728.24</v>
      </c>
      <c r="E41" s="288"/>
    </row>
    <row r="42" ht="14.002500000000003" customHeight="1">
      <c r="A42" s="288" t="n">
        <v>6</v>
      </c>
      <c r="B42" s="288" t="s">
        <v>100</v>
      </c>
      <c r="C42" s="288" t="s">
        <v>85</v>
      </c>
      <c r="D42" s="293" t="n">
        <f>'资金平衡表'!H36</f>
        <v>2536.53</v>
      </c>
      <c r="E42" s="288"/>
    </row>
    <row r="43" ht="14.002500000000003" customHeight="1">
      <c r="A43" s="288" t="n">
        <v>7</v>
      </c>
      <c r="B43" s="288" t="s">
        <v>101</v>
      </c>
      <c r="C43" s="288" t="s">
        <v>85</v>
      </c>
      <c r="D43" s="293" t="n">
        <f>'资金平衡表'!J36</f>
        <v>8191.71</v>
      </c>
      <c r="E43" s="288"/>
    </row>
    <row r="44" ht="14.002500000000003" customHeight="1">
      <c r="A44" s="288" t="n">
        <v>8</v>
      </c>
      <c r="B44" s="288" t="s">
        <v>102</v>
      </c>
      <c r="C44" s="288" t="s">
        <v>103</v>
      </c>
      <c r="D44" s="293" t="n">
        <f>'资金平衡表'!J37</f>
        <v>1.58</v>
      </c>
      <c r="E44" s="296" t="s">
        <v>104</v>
      </c>
    </row>
    <row r="45" ht="14.002500000000003" customHeight="1">
      <c r="A45" s="283"/>
      <c r="B45" s="283"/>
      <c r="C45" s="283"/>
      <c r="D45" s="90" t="n">
        <f>'资金平衡表'!K37</f>
        <v>1.38</v>
      </c>
      <c r="E45" s="297" t="s">
        <f>'资金平衡表'!K2</f>
        <v>105</v>
      </c>
      <c r="H45" s="99"/>
    </row>
    <row r="46" ht="14.002500000000003" customHeight="1">
      <c r="A46" s="283"/>
      <c r="B46" s="283"/>
      <c r="C46" s="283"/>
      <c r="D46" s="90" t="n">
        <f>'资金平衡表'!L37</f>
        <v>1.54</v>
      </c>
      <c r="E46" s="297" t="s">
        <f>'资金平衡表'!L2</f>
        <v>106</v>
      </c>
    </row>
    <row r="47" ht="14.002500000000003" customHeight="1">
      <c r="A47" s="283"/>
      <c r="B47" s="283"/>
      <c r="C47" s="283"/>
      <c r="D47" s="90" t="n">
        <f>'资金平衡表'!M37</f>
        <v>1.33</v>
      </c>
      <c r="E47" s="297" t="s">
        <f>'资金平衡表'!M2</f>
        <v>107</v>
      </c>
    </row>
  </sheetData>
  <mergeCells count="8">
    <mergeCell ref="H16:L30"/>
    <mergeCell ref="I8:J8"/>
    <mergeCell ref="K8:L8"/>
    <mergeCell ref="G8:G10"/>
    <mergeCell ref="B28:E28"/>
    <mergeCell ref="M8:M9"/>
    <mergeCell ref="H8:H10"/>
    <mergeCell ref="B2:E2"/>
  </mergeCells>
  <phoneticPr fontId="1" type="noConversion"/>
  <conditionalFormatting sqref="D44:D47">
    <cfRule priority="10" type="cellIs" operator="greaterThanOrEqual" dxfId="0">
      <formula>1.31</formula>
    </cfRule>
  </conditionalFormatting>
  <conditionalFormatting sqref="D44:D47">
    <cfRule priority="11" type="cellIs" operator="lessThan" dxfId="1">
      <formula>1.31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7CAAC"/>
    <outlinePr summaryBelow="0" summaryRight="0"/>
  </sheetPr>
  <dimension ref="A1"/>
  <sheetViews>
    <sheetView workbookViewId="0"/>
  </sheetViews>
  <sheetFormatPr baseColWidth="10" defaultColWidth="9" defaultRowHeight="14.002500000000003" customHeight="1"/>
  <cols>
    <col min="2" max="2" width="21.498046875" customWidth="1" style="548"/>
    <col min="3" max="3" width="12.83203125" customWidth="1" style="548"/>
    <col min="4" max="4" width="10.8310546875" customWidth="1" style="548"/>
    <col min="5" max="5" width="9.9990234375" customWidth="1" style="548"/>
    <col min="6" max="6" width="11.666015625" customWidth="1" style="548"/>
    <col min="7" max="7" width="12.83203125" customWidth="1" style="548"/>
    <col min="8" max="8" width="9.3310546875" customWidth="1" style="548"/>
    <col min="9" max="9" width="7.5" customWidth="1" style="548"/>
    <col min="10" max="10" width="10.5" customWidth="1" style="548"/>
    <col min="11" max="11" width="12.3310546875" customWidth="1" style="548"/>
    <col min="12" max="12" width="12.83203125" customWidth="1" style="548"/>
    <col min="13" max="13" width="18.6650390625" customWidth="1" style="548"/>
  </cols>
  <sheetData>
    <row r="1" ht="14.002500000000003" customHeight="1">
      <c r="A1" s="349" t="s">
        <v>5</v>
      </c>
      <c r="B1" s="349" t="s">
        <v>108</v>
      </c>
      <c r="C1" s="356" t="s">
        <v>109</v>
      </c>
      <c r="D1" s="357"/>
      <c r="E1" s="357"/>
      <c r="F1" s="358"/>
      <c r="G1" s="268"/>
      <c r="H1" s="269"/>
      <c r="I1" s="356" t="s">
        <v>110</v>
      </c>
      <c r="J1" s="357"/>
      <c r="K1" s="358"/>
      <c r="L1" s="351" t="s">
        <v>11</v>
      </c>
    </row>
    <row r="2" ht="28" customHeight="1">
      <c r="A2" s="350"/>
      <c r="B2" s="350"/>
      <c r="C2" s="107" t="s">
        <v>111</v>
      </c>
      <c r="D2" s="107" t="s">
        <v>112</v>
      </c>
      <c r="E2" s="107" t="s">
        <v>113</v>
      </c>
      <c r="F2" s="109" t="s">
        <v>114</v>
      </c>
      <c r="G2" s="109" t="s">
        <v>115</v>
      </c>
      <c r="H2" s="109" t="s">
        <v>116</v>
      </c>
      <c r="I2" s="109" t="s">
        <v>9</v>
      </c>
      <c r="J2" s="109" t="s">
        <v>66</v>
      </c>
      <c r="K2" s="109" t="s">
        <v>117</v>
      </c>
      <c r="L2" s="351"/>
    </row>
    <row r="3" ht="14.002500000000003" customHeight="1">
      <c r="A3" s="270" t="s">
        <v>35</v>
      </c>
      <c r="B3" s="270" t="s">
        <v>86</v>
      </c>
      <c r="C3" s="271" t="n">
        <f>C4+C17+C18+C19+C25</f>
        <v>2199</v>
      </c>
      <c r="D3" s="271" t="n">
        <f>D4+D17+D18+D19+D25</f>
        <v>1228.98</v>
      </c>
      <c r="E3" s="271" t="n">
        <f>E4+E17+E18+E19+E25</f>
        <v>564.9</v>
      </c>
      <c r="F3" s="271" t="n">
        <f>F4+F17+F18+F19+F25</f>
        <v>0</v>
      </c>
      <c r="G3" s="271" t="n">
        <f>C3+E3+D3+F3</f>
        <v>3992.88</v>
      </c>
      <c r="H3" s="272" t="n">
        <f>G3/$G$55</f>
        <v>0.798576</v>
      </c>
      <c r="I3" s="282"/>
      <c r="J3" s="282"/>
      <c r="K3" s="282"/>
      <c r="L3" s="282"/>
      <c r="M3" s="548" t="n">
        <f>G3/'标准化指标设定'!F16</f>
        <v>0.558992020159597</v>
      </c>
    </row>
    <row r="4" s="99" customFormat="1" ht="14.002500000000003" customHeight="1">
      <c r="A4" s="273" t="n">
        <f>'项目技术经济指标'!A4</f>
        <v>1</v>
      </c>
      <c r="B4" s="273" t="s">
        <f>'项目技术经济指标'!B4</f>
        <v>37</v>
      </c>
      <c r="C4" s="274" t="n">
        <f>SUM(C5:C16)</f>
        <v>1499</v>
      </c>
      <c r="D4" s="274" t="n">
        <f>SUM(D5:D16)</f>
        <v>385</v>
      </c>
      <c r="E4" s="274" t="n">
        <f>SUM(E5:E16)</f>
        <v>400</v>
      </c>
      <c r="F4" s="274" t="n">
        <f>SUM(F5:F16)</f>
        <v>0</v>
      </c>
      <c r="G4" s="274" t="n">
        <f>C4+E4+D4+F4</f>
        <v>2284</v>
      </c>
      <c r="H4" s="275" t="n">
        <f>G4/$G$55</f>
        <v>0.4568</v>
      </c>
      <c r="I4" s="273" t="s">
        <f>'项目技术经济指标'!C4</f>
        <v>32</v>
      </c>
      <c r="J4" s="273" t="n">
        <f>'项目技术经济指标'!D4</f>
        <v>5200</v>
      </c>
      <c r="K4" s="273"/>
      <c r="L4" s="283"/>
    </row>
    <row r="5" ht="14.002500000000003" customHeight="1">
      <c r="A5" s="276" t="n">
        <f>'项目技术经济指标'!A5</f>
        <v>1.1</v>
      </c>
      <c r="B5" s="276" t="s">
        <f>'项目技术经济指标'!B5</f>
        <v>38</v>
      </c>
      <c r="C5" s="277" t="n">
        <f>ROUND(J5*K5/10000,2)</f>
        <v>248</v>
      </c>
      <c r="D5" s="274"/>
      <c r="E5" s="274"/>
      <c r="F5" s="274"/>
      <c r="G5" s="277" t="n">
        <f>C5+E5+D5+F5</f>
        <v>248</v>
      </c>
      <c r="H5" s="278" t="n">
        <f>G5/$G$55</f>
        <v>0.0496</v>
      </c>
      <c r="I5" s="276" t="s">
        <f>'项目技术经济指标'!C5</f>
        <v>32</v>
      </c>
      <c r="J5" s="276" t="n">
        <f>'项目技术经济指标'!D5</f>
        <v>800</v>
      </c>
      <c r="K5" s="276" t="n">
        <v>3100</v>
      </c>
      <c r="L5" s="6" t="s">
        <v>118</v>
      </c>
      <c r="M5" s="8" t="s">
        <v>119</v>
      </c>
    </row>
    <row r="6" ht="14.002500000000003" customHeight="1">
      <c r="A6" s="276" t="n">
        <f>'项目技术经济指标'!A6</f>
        <v>1.2</v>
      </c>
      <c r="B6" s="276" t="s">
        <f>'项目技术经济指标'!B6</f>
        <v>40</v>
      </c>
      <c r="C6" s="277" t="n">
        <f>ROUND(J6*K6/10000,2)</f>
        <v>248</v>
      </c>
      <c r="D6" s="277"/>
      <c r="E6" s="277"/>
      <c r="F6" s="277"/>
      <c r="G6" s="277" t="n">
        <f>C6+E6+D6+F6</f>
        <v>248</v>
      </c>
      <c r="H6" s="278" t="n">
        <f>G6/$G$55</f>
        <v>0.0496</v>
      </c>
      <c r="I6" s="276" t="s">
        <f>'项目技术经济指标'!C6</f>
        <v>32</v>
      </c>
      <c r="J6" s="276" t="n">
        <f>'项目技术经济指标'!D6</f>
        <v>800</v>
      </c>
      <c r="K6" s="276" t="n">
        <v>3100</v>
      </c>
      <c r="L6" s="6" t="s">
        <v>118</v>
      </c>
      <c r="M6" s="8" t="s">
        <v>120</v>
      </c>
    </row>
    <row r="7" ht="14.002500000000003" customHeight="1">
      <c r="A7" s="276" t="n">
        <f>'项目技术经济指标'!A7</f>
        <v>1.3</v>
      </c>
      <c r="B7" s="276" t="s">
        <f>'项目技术经济指标'!B7</f>
        <v>41</v>
      </c>
      <c r="C7" s="277" t="n">
        <f>ROUND(J7*K7/10000,2)</f>
        <v>224</v>
      </c>
      <c r="D7" s="277"/>
      <c r="E7" s="277"/>
      <c r="F7" s="277"/>
      <c r="G7" s="277" t="n">
        <f>C7+E7+D7+F7</f>
        <v>224</v>
      </c>
      <c r="H7" s="278" t="n">
        <f>G7/$G$55</f>
        <v>0.0448</v>
      </c>
      <c r="I7" s="276" t="s">
        <f>'项目技术经济指标'!C7</f>
        <v>32</v>
      </c>
      <c r="J7" s="276" t="n">
        <f>'项目技术经济指标'!D7</f>
        <v>800</v>
      </c>
      <c r="K7" s="276" t="n">
        <v>2800</v>
      </c>
      <c r="L7" s="6" t="s">
        <v>118</v>
      </c>
      <c r="M7" s="8" t="s">
        <v>121</v>
      </c>
    </row>
    <row r="8" ht="14.002500000000003" customHeight="1">
      <c r="A8" s="276" t="n">
        <f>'项目技术经济指标'!A8</f>
        <v>1.4</v>
      </c>
      <c r="B8" s="276" t="s">
        <f>'项目技术经济指标'!B8</f>
        <v>68</v>
      </c>
      <c r="C8" s="277" t="n">
        <f>ROUND(J8*K8/10000,2)</f>
        <v>155</v>
      </c>
      <c r="D8" s="277"/>
      <c r="E8" s="277"/>
      <c r="F8" s="277"/>
      <c r="G8" s="277" t="n">
        <f>C8+E8+D8+F8</f>
        <v>155</v>
      </c>
      <c r="H8" s="278" t="n">
        <f>G8/$G$55</f>
        <v>0.031</v>
      </c>
      <c r="I8" s="276" t="s">
        <f>'项目技术经济指标'!C8</f>
        <v>32</v>
      </c>
      <c r="J8" s="276" t="n">
        <f>'项目技术经济指标'!D8</f>
        <v>500</v>
      </c>
      <c r="K8" s="276" t="n">
        <v>3100</v>
      </c>
      <c r="L8" s="6" t="s">
        <v>118</v>
      </c>
      <c r="M8" s="8" t="s">
        <v>119</v>
      </c>
    </row>
    <row r="9" ht="14.002500000000003" customHeight="1">
      <c r="A9" s="276" t="n">
        <f>'项目技术经济指标'!A9</f>
        <v>1.5</v>
      </c>
      <c r="B9" s="276" t="s">
        <f>'项目技术经济指标'!B9</f>
        <v>43</v>
      </c>
      <c r="C9" s="277" t="n">
        <f>ROUND(J9*K9/10000,2)</f>
        <v>140</v>
      </c>
      <c r="D9" s="277"/>
      <c r="E9" s="277"/>
      <c r="F9" s="277"/>
      <c r="G9" s="277" t="n">
        <f>C9+E9+D9+F9</f>
        <v>140</v>
      </c>
      <c r="H9" s="278" t="n">
        <f>G9/$G$55</f>
        <v>0.028</v>
      </c>
      <c r="I9" s="276" t="s">
        <f>'项目技术经济指标'!C9</f>
        <v>32</v>
      </c>
      <c r="J9" s="276" t="n">
        <f>'项目技术经济指标'!D9</f>
        <v>500</v>
      </c>
      <c r="K9" s="276" t="n">
        <v>2800</v>
      </c>
      <c r="L9" s="6" t="s">
        <v>118</v>
      </c>
      <c r="M9" s="8" t="s">
        <v>122</v>
      </c>
    </row>
    <row r="10" ht="14.002500000000003" customHeight="1">
      <c r="A10" s="276" t="n">
        <f>'项目技术经济指标'!A10</f>
        <v>1.6</v>
      </c>
      <c r="B10" s="276" t="s">
        <f>'项目技术经济指标'!B10</f>
        <v>44</v>
      </c>
      <c r="C10" s="277" t="n">
        <f>ROUND(J10*K10/10000,2)</f>
        <v>112</v>
      </c>
      <c r="D10" s="277"/>
      <c r="E10" s="277"/>
      <c r="F10" s="277"/>
      <c r="G10" s="277" t="n">
        <f>C10+E10+D10+F10</f>
        <v>112</v>
      </c>
      <c r="H10" s="278" t="n">
        <f>G10/$G$55</f>
        <v>0.0224</v>
      </c>
      <c r="I10" s="276" t="s">
        <f>'项目技术经济指标'!C10</f>
        <v>32</v>
      </c>
      <c r="J10" s="276" t="n">
        <f>'项目技术经济指标'!D10</f>
        <v>400</v>
      </c>
      <c r="K10" s="276" t="n">
        <v>2800</v>
      </c>
      <c r="L10" s="6" t="s">
        <v>118</v>
      </c>
      <c r="M10" s="8" t="s">
        <v>123</v>
      </c>
    </row>
    <row r="11" ht="14.002500000000003" customHeight="1">
      <c r="A11" s="276" t="n">
        <f>'项目技术经济指标'!A11</f>
        <v>1.7</v>
      </c>
      <c r="B11" s="276" t="s">
        <f>'项目技术经济指标'!B11</f>
        <v>45</v>
      </c>
      <c r="C11" s="277" t="n">
        <f>ROUND(J11*K11/10000,2)</f>
        <v>112</v>
      </c>
      <c r="D11" s="277"/>
      <c r="E11" s="277"/>
      <c r="F11" s="277"/>
      <c r="G11" s="277" t="n">
        <f>C11+E11+D11+F11</f>
        <v>112</v>
      </c>
      <c r="H11" s="278" t="n">
        <f>G11/$G$55</f>
        <v>0.0224</v>
      </c>
      <c r="I11" s="276" t="s">
        <f>'项目技术经济指标'!C11</f>
        <v>32</v>
      </c>
      <c r="J11" s="276" t="n">
        <f>'项目技术经济指标'!D11</f>
        <v>400</v>
      </c>
      <c r="K11" s="276" t="n">
        <v>2800</v>
      </c>
      <c r="L11" s="6" t="s">
        <v>118</v>
      </c>
      <c r="M11" s="8" t="s">
        <v>123</v>
      </c>
    </row>
    <row r="12" ht="14.002500000000003" customHeight="1">
      <c r="A12" s="276" t="n">
        <f>'项目技术经济指标'!A12</f>
        <v>1.8</v>
      </c>
      <c r="B12" s="276" t="s">
        <f>'项目技术经济指标'!B12</f>
        <v>46</v>
      </c>
      <c r="C12" s="277" t="n">
        <f>ROUND(J12*K12/10000,2)</f>
        <v>130</v>
      </c>
      <c r="D12" s="277"/>
      <c r="E12" s="277"/>
      <c r="F12" s="277"/>
      <c r="G12" s="277" t="n">
        <f>C12+E12+D12+F12</f>
        <v>130</v>
      </c>
      <c r="H12" s="278" t="n">
        <f>G12/$G$55</f>
        <v>0.026</v>
      </c>
      <c r="I12" s="276" t="s">
        <f>'项目技术经济指标'!C12</f>
        <v>32</v>
      </c>
      <c r="J12" s="276" t="n">
        <f>'项目技术经济指标'!D12</f>
        <v>500</v>
      </c>
      <c r="K12" s="276" t="n">
        <v>2600</v>
      </c>
      <c r="L12" s="6" t="s">
        <v>118</v>
      </c>
      <c r="M12" s="8" t="s">
        <v>120</v>
      </c>
    </row>
    <row r="13" ht="14.002500000000003" customHeight="1">
      <c r="A13" s="276" t="n">
        <f>'项目技术经济指标'!A13</f>
        <v>1.9</v>
      </c>
      <c r="B13" s="276" t="s">
        <f>'项目技术经济指标'!B13</f>
        <v>47</v>
      </c>
      <c r="C13" s="277" t="n">
        <f>ROUND(J13*K13/10000,2)</f>
        <v>130</v>
      </c>
      <c r="D13" s="277"/>
      <c r="E13" s="277"/>
      <c r="F13" s="277"/>
      <c r="G13" s="277" t="n">
        <f>C13+E13+D13+F13</f>
        <v>130</v>
      </c>
      <c r="H13" s="278" t="n">
        <f>G13/$G$55</f>
        <v>0.026</v>
      </c>
      <c r="I13" s="276" t="s">
        <f>'项目技术经济指标'!C13</f>
        <v>32</v>
      </c>
      <c r="J13" s="276" t="n">
        <f>'项目技术经济指标'!D13</f>
        <v>500</v>
      </c>
      <c r="K13" s="276" t="n">
        <v>2600</v>
      </c>
      <c r="L13" s="6" t="s">
        <v>118</v>
      </c>
      <c r="M13" s="12" t="s">
        <v>120</v>
      </c>
    </row>
    <row r="14" ht="14.002500000000003" customHeight="1">
      <c r="A14" s="277" t="n">
        <v>1.1</v>
      </c>
      <c r="B14" s="276" t="s">
        <v>124</v>
      </c>
      <c r="C14" s="277"/>
      <c r="D14" s="277" t="n">
        <f>ROUND(J14*K14/10000,2)*20%</f>
        <v>40</v>
      </c>
      <c r="E14" s="277" t="n">
        <f>ROUND(J14*K14/10000,2)*80%</f>
        <v>160</v>
      </c>
      <c r="F14" s="277"/>
      <c r="G14" s="277" t="n">
        <f>C14+E14+D14+F14</f>
        <v>200</v>
      </c>
      <c r="H14" s="278" t="n">
        <f>G14/$G$55</f>
        <v>0.04</v>
      </c>
      <c r="I14" s="284" t="s">
        <v>125</v>
      </c>
      <c r="J14" s="276" t="n">
        <v>1</v>
      </c>
      <c r="K14" s="276" t="n">
        <v>2000000</v>
      </c>
      <c r="L14" s="6"/>
      <c r="M14" s="8" t="s">
        <v>126</v>
      </c>
    </row>
    <row r="15" ht="14.002500000000003" customHeight="1">
      <c r="A15" s="276" t="n">
        <v>1.11</v>
      </c>
      <c r="B15" s="276" t="s">
        <v>127</v>
      </c>
      <c r="C15" s="277"/>
      <c r="D15" s="277" t="n">
        <f>ROUND(J15*K15/10000,2)*20%</f>
        <v>60</v>
      </c>
      <c r="E15" s="277" t="n">
        <f>ROUND(J15*K15/10000,2)*80%</f>
        <v>240</v>
      </c>
      <c r="F15" s="277"/>
      <c r="G15" s="277" t="n">
        <f>C15+E15+D15+F15</f>
        <v>300</v>
      </c>
      <c r="H15" s="278" t="n">
        <f>G15/$G$55</f>
        <v>0.06</v>
      </c>
      <c r="I15" s="284" t="s">
        <v>125</v>
      </c>
      <c r="J15" s="276" t="n">
        <v>1</v>
      </c>
      <c r="K15" s="276" t="n">
        <v>3000000</v>
      </c>
      <c r="L15" s="6"/>
      <c r="M15" s="8" t="s">
        <v>128</v>
      </c>
    </row>
    <row r="16" ht="14.002500000000003" customHeight="1">
      <c r="A16" s="276" t="n">
        <v>1.12</v>
      </c>
      <c r="B16" s="276" t="s">
        <v>129</v>
      </c>
      <c r="C16" s="277"/>
      <c r="D16" s="277" t="n">
        <f>ROUND(J16*K16/10000,2)</f>
        <v>285</v>
      </c>
      <c r="E16" s="277"/>
      <c r="F16" s="277"/>
      <c r="G16" s="277" t="n">
        <f>C16+E16+D16+F16</f>
        <v>285</v>
      </c>
      <c r="H16" s="278" t="n">
        <f>G16/$G$55</f>
        <v>0.057</v>
      </c>
      <c r="I16" s="276" t="s">
        <v>32</v>
      </c>
      <c r="J16" s="276" t="n">
        <f>'标准化指标设定'!D6*10000</f>
        <v>7125</v>
      </c>
      <c r="K16" s="276" t="n">
        <v>400</v>
      </c>
      <c r="L16" s="6"/>
      <c r="M16" s="8" t="s">
        <v>130</v>
      </c>
    </row>
    <row r="17" s="99" customFormat="1" ht="14.002500000000003" customHeight="1">
      <c r="A17" s="273" t="n">
        <f>'项目技术经济指标'!A14</f>
        <v>2</v>
      </c>
      <c r="B17" s="273" t="s">
        <f>'项目技术经济指标'!B14</f>
        <v>49</v>
      </c>
      <c r="C17" s="274" t="n">
        <f>J17*K17/10000</f>
        <v>100</v>
      </c>
      <c r="D17" s="274"/>
      <c r="E17" s="274"/>
      <c r="F17" s="274"/>
      <c r="G17" s="274" t="n">
        <f>C17+E17+D17+F17</f>
        <v>100</v>
      </c>
      <c r="H17" s="275" t="n">
        <f>G17/$G$55</f>
        <v>0.02</v>
      </c>
      <c r="I17" s="273" t="s">
        <f>'项目技术经济指标'!C14</f>
        <v>32</v>
      </c>
      <c r="J17" s="273" t="n">
        <f>'项目技术经济指标'!D14</f>
        <v>2000</v>
      </c>
      <c r="K17" s="273" t="n">
        <v>500</v>
      </c>
      <c r="L17" s="283"/>
      <c r="M17" s="12"/>
    </row>
    <row r="18" s="99" customFormat="1" ht="14.002500000000003" customHeight="1">
      <c r="A18" s="273" t="n">
        <f>'项目技术经济指标'!A15</f>
        <v>3</v>
      </c>
      <c r="B18" s="273" t="s">
        <f>'项目技术经济指标'!B15</f>
        <v>51</v>
      </c>
      <c r="C18" s="274" t="n">
        <f>ROUND(J18*K18/10000,2)</f>
        <v>600</v>
      </c>
      <c r="D18" s="274" t="n">
        <f>E18*20%</f>
        <v>15</v>
      </c>
      <c r="E18" s="274" t="n">
        <v>75</v>
      </c>
      <c r="F18" s="274"/>
      <c r="G18" s="274" t="n">
        <f>C18+E18+D18+F18</f>
        <v>690</v>
      </c>
      <c r="H18" s="275" t="n">
        <f>G18/$G$55</f>
        <v>0.138</v>
      </c>
      <c r="I18" s="273" t="s">
        <f>'项目技术经济指标'!C15</f>
        <v>32</v>
      </c>
      <c r="J18" s="273" t="n">
        <v>2000</v>
      </c>
      <c r="K18" s="273" t="n">
        <v>3000</v>
      </c>
      <c r="L18" s="283"/>
      <c r="M18" s="12" t="s">
        <v>131</v>
      </c>
    </row>
    <row r="19" s="99" customFormat="1" ht="14.002500000000003" customHeight="1">
      <c r="A19" s="273" t="n">
        <f>'项目技术经济指标'!A16</f>
        <v>4</v>
      </c>
      <c r="B19" s="273" t="s">
        <f>'项目技术经济指标'!B16</f>
        <v>52</v>
      </c>
      <c r="C19" s="274" t="n">
        <f>C20+C24</f>
        <v>0</v>
      </c>
      <c r="D19" s="274" t="n">
        <f>D20+D24</f>
        <v>256.58</v>
      </c>
      <c r="E19" s="274" t="n">
        <f>E20+E24</f>
        <v>27.9</v>
      </c>
      <c r="F19" s="274" t="n">
        <f>F20+F24</f>
        <v>0</v>
      </c>
      <c r="G19" s="274" t="n">
        <f>C19+E19+D19+F19</f>
        <v>284.48</v>
      </c>
      <c r="H19" s="275" t="n">
        <f>G19/$G$55</f>
        <v>0.056896</v>
      </c>
      <c r="I19" s="273" t="s">
        <f>'项目技术经济指标'!C16</f>
        <v>53</v>
      </c>
      <c r="J19" s="273" t="n">
        <f>'项目技术经济指标'!D16</f>
        <v>3.6</v>
      </c>
      <c r="K19" s="273"/>
      <c r="L19" s="283"/>
      <c r="M19" s="12"/>
    </row>
    <row r="20" ht="14.002500000000003" customHeight="1">
      <c r="A20" s="276" t="n">
        <f>'项目技术经济指标'!A17</f>
        <v>4.1</v>
      </c>
      <c r="B20" s="276" t="s">
        <f>'项目技术经济指标'!B17</f>
        <v>54</v>
      </c>
      <c r="C20" s="277" t="n">
        <f>SUM(C21:C23)</f>
        <v>0</v>
      </c>
      <c r="D20" s="277" t="n">
        <f>SUM(D21:D23)</f>
        <v>251</v>
      </c>
      <c r="E20" s="277" t="n">
        <f>SUM(E21:E23)</f>
        <v>0</v>
      </c>
      <c r="F20" s="277" t="n">
        <f>SUM(F21:F23)</f>
        <v>0</v>
      </c>
      <c r="G20" s="277" t="n">
        <f>C20+E20+D20+F20</f>
        <v>251</v>
      </c>
      <c r="H20" s="278" t="n">
        <f>G20/$G$55</f>
        <v>0.0502</v>
      </c>
      <c r="I20" s="276" t="s">
        <f>'项目技术经济指标'!C17</f>
        <v>53</v>
      </c>
      <c r="J20" s="276" t="n">
        <f>'项目技术经济指标'!D17</f>
        <v>3.6</v>
      </c>
      <c r="K20" s="276"/>
      <c r="L20" s="6"/>
      <c r="M20" s="8"/>
    </row>
    <row r="21" ht="14.002500000000003" customHeight="1">
      <c r="A21" s="276" t="s">
        <f>'项目技术经济指标'!A18</f>
        <v>55</v>
      </c>
      <c r="B21" s="276" t="s">
        <f>'项目技术经济指标'!B18</f>
        <v>56</v>
      </c>
      <c r="C21" s="111"/>
      <c r="D21" s="100" t="n">
        <f>ROUND(J21*K21/10000,2)</f>
        <v>72</v>
      </c>
      <c r="E21" s="277"/>
      <c r="F21" s="277"/>
      <c r="G21" s="277" t="n">
        <f>C21+E21+D21+F21</f>
        <v>72</v>
      </c>
      <c r="H21" s="278" t="n">
        <f>G21/$G$55</f>
        <v>0.0144</v>
      </c>
      <c r="I21" s="276" t="s">
        <v>132</v>
      </c>
      <c r="J21" s="276" t="n">
        <f>'项目技术经济指标'!D18*1000</f>
        <v>1200</v>
      </c>
      <c r="K21" s="276" t="n">
        <v>600</v>
      </c>
      <c r="L21" s="6"/>
      <c r="M21" s="8" t="s">
        <v>133</v>
      </c>
    </row>
    <row r="22" ht="14.002500000000003" customHeight="1">
      <c r="A22" s="276" t="s">
        <f>'项目技术经济指标'!A19</f>
        <v>57</v>
      </c>
      <c r="B22" s="276" t="s">
        <f>'项目技术经济指标'!B19</f>
        <v>58</v>
      </c>
      <c r="C22" s="111"/>
      <c r="D22" s="100" t="n">
        <f>ROUND(J22*K22/10000,2)</f>
        <v>91</v>
      </c>
      <c r="E22" s="277"/>
      <c r="F22" s="277"/>
      <c r="G22" s="277" t="n">
        <f>C22+E22+D22+F22</f>
        <v>91</v>
      </c>
      <c r="H22" s="278" t="n">
        <f>G22/$G$55</f>
        <v>0.0182</v>
      </c>
      <c r="I22" s="276" t="s">
        <v>132</v>
      </c>
      <c r="J22" s="276" t="n">
        <f>'项目技术经济指标'!D19*1000</f>
        <v>1300</v>
      </c>
      <c r="K22" s="276" t="n">
        <v>700</v>
      </c>
      <c r="L22" s="6"/>
      <c r="M22" s="8" t="s">
        <v>134</v>
      </c>
    </row>
    <row r="23" ht="14.002500000000003" customHeight="1">
      <c r="A23" s="276" t="s">
        <f>'项目技术经济指标'!A20</f>
        <v>59</v>
      </c>
      <c r="B23" s="276" t="s">
        <f>'项目技术经济指标'!B20</f>
        <v>60</v>
      </c>
      <c r="C23" s="111"/>
      <c r="D23" s="100" t="n">
        <f>ROUND(J23*K23/10000,2)</f>
        <v>88</v>
      </c>
      <c r="E23" s="277"/>
      <c r="F23" s="277"/>
      <c r="G23" s="277" t="n">
        <f>C23+E23+D23+F23</f>
        <v>88</v>
      </c>
      <c r="H23" s="278" t="n">
        <f>G23/$G$55</f>
        <v>0.0176</v>
      </c>
      <c r="I23" s="276" t="s">
        <v>132</v>
      </c>
      <c r="J23" s="276" t="n">
        <f>'项目技术经济指标'!D20*1000</f>
        <v>1100</v>
      </c>
      <c r="K23" s="276" t="n">
        <v>800</v>
      </c>
      <c r="L23" s="6"/>
      <c r="M23" s="8" t="s">
        <v>135</v>
      </c>
    </row>
    <row r="24" ht="14.002500000000003" customHeight="1">
      <c r="A24" s="276" t="n">
        <f>'项目技术经济指标'!A21</f>
        <v>4.2</v>
      </c>
      <c r="B24" s="276" t="s">
        <f>'项目技术经济指标'!B21</f>
        <v>61</v>
      </c>
      <c r="C24" s="111"/>
      <c r="D24" s="277" t="n">
        <f>E24*20%</f>
        <v>5.58</v>
      </c>
      <c r="E24" s="277" t="n">
        <f>ROUND(J24*K24/10000,2)</f>
        <v>27.9</v>
      </c>
      <c r="F24" s="277"/>
      <c r="G24" s="277" t="n">
        <f>C24+E24+D24+F24</f>
        <v>33.48</v>
      </c>
      <c r="H24" s="278" t="n">
        <f>G24/$G$55</f>
        <v>0.006696</v>
      </c>
      <c r="I24" s="276" t="s">
        <f>'项目技术经济指标'!C21</f>
        <v>63</v>
      </c>
      <c r="J24" s="276" t="n">
        <f>'项目技术经济指标'!D21</f>
        <v>90</v>
      </c>
      <c r="K24" s="276" t="n">
        <v>3100</v>
      </c>
      <c r="L24" s="6"/>
      <c r="M24" s="8" t="s">
        <v>136</v>
      </c>
    </row>
    <row r="25" s="99" customFormat="1" ht="14.002500000000003" customHeight="1">
      <c r="A25" s="273" t="n">
        <f>'项目技术经济指标'!A22</f>
        <v>5</v>
      </c>
      <c r="B25" s="273" t="s">
        <f>'项目技术经济指标'!B22</f>
        <v>77</v>
      </c>
      <c r="C25" s="274" t="n">
        <f>C26+C30</f>
        <v>0</v>
      </c>
      <c r="D25" s="274" t="n">
        <f>D26+D30</f>
        <v>572.4</v>
      </c>
      <c r="E25" s="274" t="n">
        <f>E26+E30</f>
        <v>62</v>
      </c>
      <c r="F25" s="274" t="n">
        <f>F26+F30</f>
        <v>0</v>
      </c>
      <c r="G25" s="274" t="n">
        <f>C25+E25+D25+F25</f>
        <v>634.4</v>
      </c>
      <c r="H25" s="275" t="n">
        <f>G25/$G$55</f>
        <v>0.12688</v>
      </c>
      <c r="I25" s="273" t="s">
        <f>'项目技术经济指标'!C22</f>
        <v>78</v>
      </c>
      <c r="J25" s="273" t="n">
        <f>'项目技术经济指标'!D22</f>
        <v>8</v>
      </c>
      <c r="K25" s="273"/>
      <c r="L25" s="273"/>
    </row>
    <row r="26" ht="14.002500000000003" customHeight="1">
      <c r="A26" s="276" t="n">
        <f>'项目技术经济指标'!A23</f>
        <v>5.1</v>
      </c>
      <c r="B26" s="276" t="s">
        <f>'项目技术经济指标'!B23</f>
        <v>54</v>
      </c>
      <c r="C26" s="277" t="n">
        <f>SUM(C27:C29)</f>
        <v>0</v>
      </c>
      <c r="D26" s="277" t="n">
        <f>SUM(D27:D29)</f>
        <v>560</v>
      </c>
      <c r="E26" s="277" t="n">
        <f>SUM(E27:E29)</f>
        <v>0</v>
      </c>
      <c r="F26" s="277" t="n">
        <f>SUM(F27:F29)</f>
        <v>0</v>
      </c>
      <c r="G26" s="277" t="n">
        <f>C26+E26+D26+F26</f>
        <v>560</v>
      </c>
      <c r="H26" s="278" t="n">
        <f>G26/$G$55</f>
        <v>0.112</v>
      </c>
      <c r="I26" s="276" t="s">
        <f>'项目技术经济指标'!C23</f>
        <v>53</v>
      </c>
      <c r="J26" s="276" t="n">
        <f>'项目技术经济指标'!D23</f>
        <v>8</v>
      </c>
      <c r="K26" s="276"/>
      <c r="L26" s="276"/>
    </row>
    <row r="27" ht="14.002500000000003" customHeight="1">
      <c r="A27" s="276" t="s">
        <f>'项目技术经济指标'!A24</f>
        <v>79</v>
      </c>
      <c r="B27" s="276" t="s">
        <f>'项目技术经济指标'!B24</f>
        <v>56</v>
      </c>
      <c r="C27" s="111"/>
      <c r="D27" s="100" t="n">
        <f>ROUND(J27*K27/10000,2)</f>
        <v>156</v>
      </c>
      <c r="E27" s="277"/>
      <c r="F27" s="277"/>
      <c r="G27" s="277" t="n">
        <f>C27+E27+D27+F27</f>
        <v>156</v>
      </c>
      <c r="H27" s="278" t="n">
        <f>G27/$G$55</f>
        <v>0.0312</v>
      </c>
      <c r="I27" s="276" t="s">
        <v>132</v>
      </c>
      <c r="J27" s="276" t="n">
        <v>2600</v>
      </c>
      <c r="K27" s="276" t="n">
        <v>600</v>
      </c>
      <c r="L27" s="276"/>
    </row>
    <row r="28" ht="14.002500000000003" customHeight="1">
      <c r="A28" s="276" t="s">
        <f>'项目技术经济指标'!A25</f>
        <v>80</v>
      </c>
      <c r="B28" s="276" t="s">
        <f>'项目技术经济指标'!B25</f>
        <v>58</v>
      </c>
      <c r="C28" s="111"/>
      <c r="D28" s="100" t="n">
        <f>ROUND(J28*K28/10000,2)</f>
        <v>196</v>
      </c>
      <c r="E28" s="277"/>
      <c r="F28" s="277"/>
      <c r="G28" s="277" t="n">
        <f>C28+E28+D28+F28</f>
        <v>196</v>
      </c>
      <c r="H28" s="278" t="n">
        <f>G28/$G$55</f>
        <v>0.0392</v>
      </c>
      <c r="I28" s="276" t="s">
        <v>132</v>
      </c>
      <c r="J28" s="276" t="n">
        <v>2800</v>
      </c>
      <c r="K28" s="276" t="n">
        <v>700</v>
      </c>
      <c r="L28" s="276"/>
    </row>
    <row r="29" ht="14.002500000000003" customHeight="1">
      <c r="A29" s="276" t="s">
        <f>'项目技术经济指标'!A26</f>
        <v>81</v>
      </c>
      <c r="B29" s="276" t="s">
        <f>'项目技术经济指标'!B26</f>
        <v>60</v>
      </c>
      <c r="C29" s="111"/>
      <c r="D29" s="100" t="n">
        <f>ROUND(J29*K29/10000,2)</f>
        <v>208</v>
      </c>
      <c r="E29" s="277"/>
      <c r="F29" s="277"/>
      <c r="G29" s="277" t="n">
        <f>C29+E29+D29+F29</f>
        <v>208</v>
      </c>
      <c r="H29" s="278" t="n">
        <f>G29/$G$55</f>
        <v>0.0416</v>
      </c>
      <c r="I29" s="276" t="s">
        <v>132</v>
      </c>
      <c r="J29" s="276" t="n">
        <v>2600</v>
      </c>
      <c r="K29" s="276" t="n">
        <v>800</v>
      </c>
      <c r="L29" s="276"/>
    </row>
    <row r="30" ht="14.002500000000003" customHeight="1">
      <c r="A30" s="276" t="n">
        <f>'项目技术经济指标'!A27</f>
        <v>5.2</v>
      </c>
      <c r="B30" s="276" t="s">
        <f>'项目技术经济指标'!B27</f>
        <v>61</v>
      </c>
      <c r="C30" s="111"/>
      <c r="D30" s="277" t="n">
        <f>E30*20%</f>
        <v>12.4</v>
      </c>
      <c r="E30" s="277" t="n">
        <f>ROUND(J30*K30/10000,2)</f>
        <v>62</v>
      </c>
      <c r="F30" s="277"/>
      <c r="G30" s="277" t="n">
        <f>C30+E30+D30+F30</f>
        <v>74.4</v>
      </c>
      <c r="H30" s="278" t="n">
        <f>G30/$G$55</f>
        <v>0.01488</v>
      </c>
      <c r="I30" s="276" t="s">
        <v>63</v>
      </c>
      <c r="J30" s="276" t="n">
        <f>'项目技术经济指标'!D27</f>
        <v>200</v>
      </c>
      <c r="K30" s="276" t="n">
        <v>3100</v>
      </c>
      <c r="L30" s="276"/>
    </row>
    <row r="31" ht="14.002500000000003" customHeight="1">
      <c r="A31" s="270" t="s">
        <v>82</v>
      </c>
      <c r="B31" s="270" t="s">
        <v>91</v>
      </c>
      <c r="C31" s="279"/>
      <c r="D31" s="279"/>
      <c r="E31" s="279"/>
      <c r="F31" s="279" t="n">
        <f>SUM(F32:F49)</f>
        <v>559.82</v>
      </c>
      <c r="G31" s="279" t="n">
        <f>F31</f>
        <v>559.82</v>
      </c>
      <c r="H31" s="272" t="n">
        <f>G31/$G$55</f>
        <v>0.111964</v>
      </c>
      <c r="I31" s="353"/>
      <c r="J31" s="353"/>
      <c r="K31" s="353"/>
      <c r="L31" s="353"/>
    </row>
    <row r="32" ht="14.4" customHeight="1">
      <c r="A32" s="276" t="n">
        <v>1</v>
      </c>
      <c r="B32" s="276" t="s">
        <f>'其他费自动计算'!B12</f>
        <v>137</v>
      </c>
      <c r="C32" s="280"/>
      <c r="D32" s="277"/>
      <c r="E32" s="277"/>
      <c r="F32" s="277" t="n">
        <f>ROUND('其他费自动计算'!C12,2)</f>
        <v>64.89</v>
      </c>
      <c r="G32" s="277" t="n">
        <f>F32</f>
        <v>64.89</v>
      </c>
      <c r="H32" s="278" t="n">
        <f>G32/$G$55</f>
        <v>0.012978</v>
      </c>
      <c r="I32" s="348" t="s">
        <f>'工程建设其他费细则说明'!E4</f>
        <v>138</v>
      </c>
      <c r="J32" s="348"/>
      <c r="K32" s="348"/>
      <c r="L32" s="348"/>
    </row>
    <row r="33" ht="14.4" customHeight="1">
      <c r="A33" s="276" t="n">
        <v>2</v>
      </c>
      <c r="B33" s="276" t="s">
        <f>'其他费自动计算'!B13</f>
        <v>139</v>
      </c>
      <c r="C33" s="280"/>
      <c r="D33" s="277"/>
      <c r="E33" s="277"/>
      <c r="F33" s="277" t="n">
        <f>ROUND('其他费自动计算'!C13,2)</f>
        <v>39.93</v>
      </c>
      <c r="G33" s="277" t="n">
        <f>F33</f>
        <v>39.93</v>
      </c>
      <c r="H33" s="278" t="n">
        <f>G33/$G$55</f>
        <v>0.007986</v>
      </c>
      <c r="I33" s="348" t="s">
        <f>'工程建设其他费细则说明'!E18</f>
        <v>140</v>
      </c>
      <c r="J33" s="348"/>
      <c r="K33" s="348"/>
      <c r="L33" s="348"/>
    </row>
    <row r="34" ht="14.4" customHeight="1">
      <c r="A34" s="276" t="n">
        <v>3</v>
      </c>
      <c r="B34" s="276" t="s">
        <f>'其他费自动计算'!B14</f>
        <v>141</v>
      </c>
      <c r="C34" s="281"/>
      <c r="D34" s="277"/>
      <c r="E34" s="277"/>
      <c r="F34" s="277" t="n">
        <f>ROUND('其他费自动计算'!C14,2)</f>
        <v>16.57</v>
      </c>
      <c r="G34" s="277" t="n">
        <f>F34</f>
        <v>16.57</v>
      </c>
      <c r="H34" s="278" t="n">
        <f>G34/$G$55</f>
        <v>0.003314</v>
      </c>
      <c r="I34" s="348" t="s">
        <f>'工程建设其他费细则说明'!E21</f>
        <v>142</v>
      </c>
      <c r="J34" s="348"/>
      <c r="K34" s="348"/>
      <c r="L34" s="348"/>
    </row>
    <row r="35" ht="14.4" customHeight="1">
      <c r="A35" s="276" t="n">
        <v>4</v>
      </c>
      <c r="B35" s="276" t="s">
        <f>'其他费自动计算'!B15</f>
        <v>143</v>
      </c>
      <c r="C35" s="281"/>
      <c r="D35" s="277"/>
      <c r="E35" s="277"/>
      <c r="F35" s="277" t="n">
        <f>ROUND('其他费自动计算'!C15,2)</f>
        <v>39.93</v>
      </c>
      <c r="G35" s="277" t="n">
        <f>F35</f>
        <v>39.93</v>
      </c>
      <c r="H35" s="278" t="n">
        <f>G35/$G$55</f>
        <v>0.007986</v>
      </c>
      <c r="I35" s="348" t="s">
        <f>'工程建设其他费细则说明'!E36</f>
        <v>140</v>
      </c>
      <c r="J35" s="348"/>
      <c r="K35" s="348"/>
      <c r="L35" s="348"/>
    </row>
    <row r="36" ht="14.4" customHeight="1">
      <c r="A36" s="276" t="n">
        <v>5</v>
      </c>
      <c r="B36" s="276" t="s">
        <f>'其他费自动计算'!B16</f>
        <v>144</v>
      </c>
      <c r="C36" s="281"/>
      <c r="D36" s="277"/>
      <c r="E36" s="277"/>
      <c r="F36" s="277" t="n">
        <f>ROUND('其他费自动计算'!C16,2)</f>
        <v>133.64</v>
      </c>
      <c r="G36" s="277" t="n">
        <f>F36</f>
        <v>133.64</v>
      </c>
      <c r="H36" s="278" t="n">
        <f>G36/$G$55</f>
        <v>0.026728</v>
      </c>
      <c r="I36" s="348" t="s">
        <f>'工程建设其他费细则说明'!E37</f>
        <v>145</v>
      </c>
      <c r="J36" s="348"/>
      <c r="K36" s="348"/>
      <c r="L36" s="348"/>
    </row>
    <row r="37" ht="14.4" customHeight="1">
      <c r="A37" s="276" t="n">
        <v>6</v>
      </c>
      <c r="B37" s="276" t="s">
        <f>'其他费自动计算'!B17</f>
        <v>146</v>
      </c>
      <c r="C37" s="277"/>
      <c r="D37" s="277"/>
      <c r="E37" s="277"/>
      <c r="F37" s="277" t="n">
        <f>ROUND('其他费自动计算'!C17,2)</f>
        <v>99.3</v>
      </c>
      <c r="G37" s="277" t="n">
        <f>F37</f>
        <v>99.3</v>
      </c>
      <c r="H37" s="278" t="n">
        <f>G37/$G$55</f>
        <v>0.01986</v>
      </c>
      <c r="I37" s="348" t="s">
        <f>'工程建设其他费细则说明'!E38</f>
        <v>147</v>
      </c>
      <c r="J37" s="348"/>
      <c r="K37" s="348"/>
      <c r="L37" s="348"/>
    </row>
    <row r="38" ht="14.4" customHeight="1">
      <c r="A38" s="276" t="n">
        <v>7</v>
      </c>
      <c r="B38" s="276" t="s">
        <f>'其他费自动计算'!B18</f>
        <v>148</v>
      </c>
      <c r="C38" s="277"/>
      <c r="D38" s="277"/>
      <c r="E38" s="277"/>
      <c r="F38" s="277" t="n">
        <f>ROUND('其他费自动计算'!C18,2)</f>
        <v>31.34</v>
      </c>
      <c r="G38" s="277" t="n">
        <f>F38</f>
        <v>31.34</v>
      </c>
      <c r="H38" s="278" t="n">
        <f>G38/$G$55</f>
        <v>0.006268</v>
      </c>
      <c r="I38" s="348" t="s">
        <f>'工程建设其他费细则说明'!E42</f>
        <v>149</v>
      </c>
      <c r="J38" s="348"/>
      <c r="K38" s="348"/>
      <c r="L38" s="348"/>
    </row>
    <row r="39" ht="14.4" customHeight="1">
      <c r="A39" s="276" t="n">
        <v>8</v>
      </c>
      <c r="B39" s="276" t="s">
        <f>'其他费自动计算'!B19</f>
        <v>150</v>
      </c>
      <c r="C39" s="277"/>
      <c r="D39" s="277"/>
      <c r="E39" s="277"/>
      <c r="F39" s="277" t="n">
        <f>ROUND('其他费自动计算'!C19,2)</f>
        <v>5.39</v>
      </c>
      <c r="G39" s="277" t="n">
        <f>F39</f>
        <v>5.39</v>
      </c>
      <c r="H39" s="278" t="n">
        <f>G39/$G$55</f>
        <v>0.001078</v>
      </c>
      <c r="I39" s="348" t="s">
        <f>'工程建设其他费细则说明'!E43</f>
        <v>151</v>
      </c>
      <c r="J39" s="348"/>
      <c r="K39" s="348"/>
      <c r="L39" s="348"/>
    </row>
    <row r="40" ht="14.4" customHeight="1">
      <c r="A40" s="276" t="n">
        <v>9</v>
      </c>
      <c r="B40" s="276" t="s">
        <f>'其他费自动计算'!B20</f>
        <v>152</v>
      </c>
      <c r="C40" s="277"/>
      <c r="D40" s="277"/>
      <c r="E40" s="277"/>
      <c r="F40" s="277" t="n">
        <f>ROUND('其他费自动计算'!C20,2)</f>
        <v>33.96</v>
      </c>
      <c r="G40" s="277" t="n">
        <f>F40</f>
        <v>33.96</v>
      </c>
      <c r="H40" s="278" t="n">
        <f>G40/$G$55</f>
        <v>0.006792</v>
      </c>
      <c r="I40" s="348" t="s">
        <f>'工程建设其他费细则说明'!E45</f>
        <v>153</v>
      </c>
      <c r="J40" s="348"/>
      <c r="K40" s="348"/>
      <c r="L40" s="348"/>
    </row>
    <row r="41" ht="14.4" customHeight="1">
      <c r="A41" s="276" t="n">
        <v>10</v>
      </c>
      <c r="B41" s="276" t="s">
        <f>'其他费自动计算'!B21</f>
        <v>154</v>
      </c>
      <c r="C41" s="281"/>
      <c r="D41" s="277"/>
      <c r="E41" s="277"/>
      <c r="F41" s="277" t="n">
        <f>ROUND('其他费自动计算'!C21,2)</f>
        <v>19.96</v>
      </c>
      <c r="G41" s="277" t="n">
        <f>F41</f>
        <v>19.96</v>
      </c>
      <c r="H41" s="278" t="n">
        <f>G41/$G$55</f>
        <v>0.003992</v>
      </c>
      <c r="I41" s="348" t="s">
        <f>'工程建设其他费细则说明'!E46</f>
        <v>140</v>
      </c>
      <c r="J41" s="348"/>
      <c r="K41" s="348"/>
      <c r="L41" s="348"/>
    </row>
    <row r="42" ht="14.4" customHeight="1">
      <c r="A42" s="276" t="n">
        <v>11</v>
      </c>
      <c r="B42" s="276" t="s">
        <f>'其他费自动计算'!B22</f>
        <v>155</v>
      </c>
      <c r="C42" s="281"/>
      <c r="D42" s="277"/>
      <c r="E42" s="277"/>
      <c r="F42" s="277" t="n">
        <f>ROUND('其他费自动计算'!C22,2)</f>
        <v>5.12</v>
      </c>
      <c r="G42" s="277" t="n">
        <f>F42</f>
        <v>5.12</v>
      </c>
      <c r="H42" s="278" t="n">
        <f>G42/$G$55</f>
        <v>0.001024</v>
      </c>
      <c r="I42" s="348" t="s">
        <f>'工程建设其他费细则说明'!E23</f>
        <v>156</v>
      </c>
      <c r="J42" s="348"/>
      <c r="K42" s="348"/>
      <c r="L42" s="348"/>
    </row>
    <row r="43" ht="14.4" customHeight="1">
      <c r="A43" s="276" t="n">
        <v>12</v>
      </c>
      <c r="B43" s="276" t="s">
        <f>'其他费自动计算'!B23</f>
        <v>157</v>
      </c>
      <c r="C43" s="103"/>
      <c r="D43" s="277"/>
      <c r="E43" s="277"/>
      <c r="F43" s="277" t="n">
        <f>ROUND('其他费自动计算'!C23,2)</f>
        <v>6</v>
      </c>
      <c r="G43" s="277" t="n">
        <f>F43</f>
        <v>6</v>
      </c>
      <c r="H43" s="278" t="n">
        <f>G43/$G$55</f>
        <v>0.0012</v>
      </c>
      <c r="I43" s="348" t="s">
        <f>'工程建设其他费细则说明'!E29</f>
        <v>158</v>
      </c>
      <c r="J43" s="348"/>
      <c r="K43" s="348"/>
      <c r="L43" s="348"/>
    </row>
    <row r="44" ht="14.4" customHeight="1">
      <c r="A44" s="276" t="n">
        <v>13</v>
      </c>
      <c r="B44" s="276" t="s">
        <f>'其他费自动计算'!B24</f>
        <v>159</v>
      </c>
      <c r="C44" s="277"/>
      <c r="D44" s="277"/>
      <c r="E44" s="277"/>
      <c r="F44" s="277" t="n">
        <f>ROUND('其他费自动计算'!C24,2)</f>
        <v>30</v>
      </c>
      <c r="G44" s="277" t="n">
        <f>F44</f>
        <v>30</v>
      </c>
      <c r="H44" s="278" t="n">
        <f>G44/$G$55</f>
        <v>0.006</v>
      </c>
      <c r="I44" s="348" t="s">
        <f>'工程建设其他费细则说明'!E27</f>
        <v>160</v>
      </c>
      <c r="J44" s="348"/>
      <c r="K44" s="348"/>
      <c r="L44" s="348"/>
    </row>
    <row r="45" ht="14.4" customHeight="1">
      <c r="A45" s="276" t="n">
        <v>14</v>
      </c>
      <c r="B45" s="276" t="s">
        <f>'其他费自动计算'!B25</f>
        <v>161</v>
      </c>
      <c r="C45" s="277"/>
      <c r="D45" s="277"/>
      <c r="E45" s="277"/>
      <c r="F45" s="277" t="n">
        <f>ROUND('其他费自动计算'!C25,2)</f>
        <v>19.96</v>
      </c>
      <c r="G45" s="277" t="n">
        <f>F45</f>
        <v>19.96</v>
      </c>
      <c r="H45" s="278" t="n">
        <f>G45/$G$55</f>
        <v>0.003992</v>
      </c>
      <c r="I45" s="348" t="s">
        <f>'工程建设其他费细则说明'!E32</f>
        <v>140</v>
      </c>
      <c r="J45" s="348"/>
      <c r="K45" s="348"/>
      <c r="L45" s="348"/>
    </row>
    <row r="46" ht="14.4" customHeight="1">
      <c r="A46" s="276" t="n">
        <v>15</v>
      </c>
      <c r="B46" s="276" t="s">
        <f>'其他费自动计算'!B26</f>
        <v>162</v>
      </c>
      <c r="C46" s="277"/>
      <c r="D46" s="277"/>
      <c r="E46" s="277"/>
      <c r="F46" s="277" t="n">
        <f>ROUND('其他费自动计算'!C26,2)</f>
        <v>4.63</v>
      </c>
      <c r="G46" s="277" t="n">
        <f>F46</f>
        <v>4.63</v>
      </c>
      <c r="H46" s="278" t="n">
        <f>G46/$G$55</f>
        <v>0.000926</v>
      </c>
      <c r="I46" s="355" t="s">
        <f>'工程建设其他费细则说明'!E31</f>
        <v>163</v>
      </c>
      <c r="J46" s="355"/>
      <c r="K46" s="355"/>
      <c r="L46" s="355"/>
    </row>
    <row r="47" ht="14.4" customHeight="1">
      <c r="A47" s="276" t="n">
        <v>16</v>
      </c>
      <c r="B47" s="276" t="s">
        <f>'其他费自动计算'!B27</f>
        <v>164</v>
      </c>
      <c r="C47" s="277"/>
      <c r="D47" s="277"/>
      <c r="E47" s="277"/>
      <c r="F47" s="277" t="n">
        <f>ROUND('其他费自动计算'!C27,2)</f>
        <v>7</v>
      </c>
      <c r="G47" s="277" t="n">
        <f>F47</f>
        <v>7</v>
      </c>
      <c r="H47" s="278" t="n">
        <f>G47/$G$55</f>
        <v>0.0014</v>
      </c>
      <c r="I47" s="355" t="s">
        <f>'工程建设其他费细则说明'!E24</f>
        <v>165</v>
      </c>
      <c r="J47" s="355"/>
      <c r="K47" s="355"/>
      <c r="L47" s="355"/>
    </row>
    <row r="48" ht="33" customHeight="1" hidden="1">
      <c r="A48" s="276" t="n">
        <v>17</v>
      </c>
      <c r="B48" s="276" t="s">
        <f>'其他费自动计算'!B28</f>
        <v>166</v>
      </c>
      <c r="C48" s="277"/>
      <c r="D48" s="277"/>
      <c r="E48" s="277"/>
      <c r="F48" s="277" t="n">
        <f>ROUND('其他费自动计算'!C28,2)</f>
        <v>0</v>
      </c>
      <c r="G48" s="277" t="n">
        <f>F48</f>
        <v>0</v>
      </c>
      <c r="H48" s="278" t="n">
        <f>G48/$G$55</f>
        <v>0</v>
      </c>
      <c r="I48" s="355" t="s">
        <f>'工程建设其他费细则说明'!E33</f>
        <v>167</v>
      </c>
      <c r="J48" s="355"/>
      <c r="K48" s="355"/>
      <c r="L48" s="355"/>
    </row>
    <row r="49" ht="14.002500000000003" customHeight="1">
      <c r="A49" s="276" t="n">
        <v>18</v>
      </c>
      <c r="B49" s="276" t="s">
        <v>168</v>
      </c>
      <c r="C49" s="277"/>
      <c r="D49" s="277"/>
      <c r="E49" s="277"/>
      <c r="F49" s="277" t="n">
        <f>ROUND('还本付息'!E38*I49,2)</f>
        <v>2.2</v>
      </c>
      <c r="G49" s="277" t="n">
        <f>F49</f>
        <v>2.2</v>
      </c>
      <c r="H49" s="278" t="n">
        <f>G49/$G$55</f>
        <v>0.00044</v>
      </c>
      <c r="I49" s="352" t="n">
        <v>0.001</v>
      </c>
      <c r="J49" s="352"/>
      <c r="K49" s="352"/>
      <c r="L49" s="352"/>
      <c r="M49" s="99" t="s">
        <v>169</v>
      </c>
    </row>
    <row r="50" ht="14.002500000000003" customHeight="1">
      <c r="A50" s="270" t="s">
        <v>170</v>
      </c>
      <c r="B50" s="270" t="s">
        <v>171</v>
      </c>
      <c r="C50" s="279"/>
      <c r="D50" s="279"/>
      <c r="E50" s="279"/>
      <c r="F50" s="271" t="n">
        <f>F51+F52</f>
        <v>348.3</v>
      </c>
      <c r="G50" s="271" t="n">
        <f>F50</f>
        <v>348.3</v>
      </c>
      <c r="H50" s="272" t="n">
        <f>G50/$G$55</f>
        <v>0.06966</v>
      </c>
      <c r="I50" s="353"/>
      <c r="J50" s="353"/>
      <c r="K50" s="353"/>
      <c r="L50" s="353"/>
    </row>
    <row r="51" ht="14.4" customHeight="1">
      <c r="A51" s="276" t="n">
        <v>1</v>
      </c>
      <c r="B51" s="276" t="s">
        <v>92</v>
      </c>
      <c r="C51" s="277"/>
      <c r="D51" s="277"/>
      <c r="E51" s="277"/>
      <c r="F51" s="277" t="n">
        <f>ROUND((G3+G31)*8%,2)-15.92</f>
        <v>348.3</v>
      </c>
      <c r="G51" s="277" t="n">
        <f>F51</f>
        <v>348.3</v>
      </c>
      <c r="H51" s="278" t="n">
        <f>G51/$G$55</f>
        <v>0.06966</v>
      </c>
      <c r="I51" s="354" t="s">
        <v>172</v>
      </c>
      <c r="J51" s="354"/>
      <c r="K51" s="354"/>
      <c r="L51" s="354"/>
    </row>
    <row r="52" ht="14.002500000000003" customHeight="1">
      <c r="A52" s="276" t="n">
        <v>2</v>
      </c>
      <c r="B52" s="276" t="s">
        <v>173</v>
      </c>
      <c r="C52" s="277"/>
      <c r="D52" s="277"/>
      <c r="E52" s="277"/>
      <c r="F52" s="277" t="n">
        <v>0</v>
      </c>
      <c r="G52" s="277" t="n">
        <f>F52</f>
        <v>0</v>
      </c>
      <c r="H52" s="278" t="n">
        <f>G52/$G$55</f>
        <v>0</v>
      </c>
      <c r="I52" s="348"/>
      <c r="J52" s="348"/>
      <c r="K52" s="348"/>
      <c r="L52" s="348"/>
    </row>
    <row r="53" ht="14.002500000000003" customHeight="1">
      <c r="A53" s="276"/>
      <c r="B53" s="273" t="s">
        <v>174</v>
      </c>
      <c r="C53" s="277" t="n">
        <f>C3+C31+C50</f>
        <v>2199</v>
      </c>
      <c r="D53" s="277" t="n">
        <f>D3+D31+D50</f>
        <v>1228.98</v>
      </c>
      <c r="E53" s="277" t="n">
        <f>E3+E31+E50</f>
        <v>564.9</v>
      </c>
      <c r="F53" s="277" t="n">
        <f>F3+F31+F50</f>
        <v>908.12</v>
      </c>
      <c r="G53" s="274" t="n">
        <f>C53+E53+D53+F53</f>
        <v>4901</v>
      </c>
      <c r="H53" s="275" t="n">
        <f>G53/$G$55</f>
        <v>0.9802</v>
      </c>
      <c r="I53" s="348"/>
      <c r="J53" s="348"/>
      <c r="K53" s="348"/>
      <c r="L53" s="348"/>
    </row>
    <row r="54" ht="14.4" customHeight="1">
      <c r="A54" s="270" t="s">
        <v>175</v>
      </c>
      <c r="B54" s="270" t="s">
        <v>93</v>
      </c>
      <c r="C54" s="279"/>
      <c r="D54" s="279"/>
      <c r="E54" s="279"/>
      <c r="F54" s="279" t="n">
        <f>G54</f>
        <v>99</v>
      </c>
      <c r="G54" s="271" t="n">
        <f>'分年计划及建设期利息'!D20</f>
        <v>99</v>
      </c>
      <c r="H54" s="272" t="n">
        <f>G54/$G$55</f>
        <v>0.0198</v>
      </c>
      <c r="I54" s="346" t="s">
        <f>TEXT('还本付息'!G5,"0.00%")&amp;"利率，建设期"&amp;TEXT('分年计划及建设期利息'!D2/12,"0")&amp;"年，发债"&amp;TEXT('分年计划及建设期利息'!G3,"0")&amp;"万元"</f>
        <v>176</v>
      </c>
      <c r="J54" s="347"/>
      <c r="K54" s="347"/>
      <c r="L54" s="347"/>
    </row>
    <row r="55" ht="14.002500000000003" customHeight="1">
      <c r="A55" s="273" t="s">
        <v>177</v>
      </c>
      <c r="B55" s="273" t="s">
        <v>84</v>
      </c>
      <c r="C55" s="274" t="n">
        <f>C3+C31+C50+C54</f>
        <v>2199</v>
      </c>
      <c r="D55" s="274" t="n">
        <f>D3+D31+D50+D54</f>
        <v>1228.98</v>
      </c>
      <c r="E55" s="274" t="n">
        <f>E3+E31+E50+E54</f>
        <v>564.9</v>
      </c>
      <c r="F55" s="274" t="n">
        <f>F3+F31+F50+F54</f>
        <v>1007.12</v>
      </c>
      <c r="G55" s="274" t="n">
        <f>G53+G54</f>
        <v>5000</v>
      </c>
      <c r="H55" s="275" t="n">
        <f>G55/$G$55</f>
        <v>1</v>
      </c>
      <c r="I55" s="348"/>
      <c r="J55" s="348"/>
      <c r="K55" s="348"/>
      <c r="L55" s="348"/>
    </row>
  </sheetData>
  <mergeCells count="30">
    <mergeCell ref="C1:F1"/>
    <mergeCell ref="I48:L48"/>
    <mergeCell ref="L1:L2"/>
    <mergeCell ref="I32:L32"/>
    <mergeCell ref="I42:L42"/>
    <mergeCell ref="I49:L49"/>
    <mergeCell ref="I35:L35"/>
    <mergeCell ref="I37:L37"/>
    <mergeCell ref="I47:L47"/>
    <mergeCell ref="I44:L44"/>
    <mergeCell ref="I33:L33"/>
    <mergeCell ref="A1:A2"/>
    <mergeCell ref="I46:L46"/>
    <mergeCell ref="I31:L31"/>
    <mergeCell ref="I52:L52"/>
    <mergeCell ref="I45:L45"/>
    <mergeCell ref="I51:L51"/>
    <mergeCell ref="I43:L43"/>
    <mergeCell ref="I50:L50"/>
    <mergeCell ref="I1:K1"/>
    <mergeCell ref="B1:B2"/>
    <mergeCell ref="I54:L54"/>
    <mergeCell ref="I40:L40"/>
    <mergeCell ref="I38:L38"/>
    <mergeCell ref="I41:L41"/>
    <mergeCell ref="I34:L34"/>
    <mergeCell ref="I55:L55"/>
    <mergeCell ref="I39:L39"/>
    <mergeCell ref="I36:L36"/>
    <mergeCell ref="I53:L53"/>
  </mergeCells>
  <phoneticPr fontId="1"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002500000000003" customHeight="1"/>
  <cols>
    <col min="1" max="1" width="9.498046875" customWidth="1" style="208"/>
    <col min="2" max="2" width="22.6640625" customWidth="1" style="208"/>
    <col min="3" max="3" width="9.498046875" customWidth="1" style="208"/>
    <col min="4" max="4" width="11.666015625" customWidth="1" style="208"/>
    <col min="5" max="5" width="14.666015625" customWidth="1" style="208"/>
    <col min="6" max="6" width="13.3330078125" customWidth="1" style="208"/>
    <col min="7" max="7" width="16.166015625" customWidth="1" style="209"/>
    <col min="8" max="8" width="15.9990234375" customWidth="1" style="209"/>
    <col min="9" max="9" width="8.8330078125" customWidth="1" style="208"/>
    <col min="10" max="13" width="8.8330078125" style="208"/>
    <col min="14" max="14" width="6.9990234375" customWidth="1" style="208"/>
    <col min="15" max="40" width="8.8330078125" style="208"/>
  </cols>
  <sheetData>
    <row r="1" ht="14.002500000000003" customHeight="1">
      <c r="A1" s="210" t="s">
        <v>5</v>
      </c>
      <c r="B1" s="210" t="s">
        <v>178</v>
      </c>
      <c r="C1" s="211" t="s">
        <v>179</v>
      </c>
    </row>
    <row r="2" ht="14.002500000000003" customHeight="1">
      <c r="A2" s="212" t="n">
        <v>1</v>
      </c>
      <c r="B2" s="212" t="s">
        <v>86</v>
      </c>
      <c r="C2" s="213" t="n">
        <f>'总投资估算'!G3</f>
        <v>3992.88</v>
      </c>
      <c r="E2" s="214" t="s">
        <v>84</v>
      </c>
      <c r="G2" s="215" t="s">
        <v>36</v>
      </c>
    </row>
    <row r="3" ht="14.002500000000003" customHeight="1">
      <c r="A3" s="212" t="n">
        <v>2</v>
      </c>
      <c r="B3" s="212" t="s">
        <v>84</v>
      </c>
      <c r="C3" s="213"/>
      <c r="E3" s="216" t="n">
        <v>5000</v>
      </c>
      <c r="F3" s="217" t="s">
        <v>180</v>
      </c>
      <c r="G3" s="218" t="n">
        <f>'项目技术经济指标'!D3/10000</f>
        <v>0.72</v>
      </c>
      <c r="H3" s="219" t="s">
        <v>180</v>
      </c>
    </row>
    <row r="4" ht="14.002500000000003" customHeight="1">
      <c r="A4" s="212" t="n">
        <v>3</v>
      </c>
      <c r="B4" s="212" t="s">
        <v>113</v>
      </c>
      <c r="C4" s="213" t="n">
        <f>'总投资估算'!E3</f>
        <v>564.9</v>
      </c>
    </row>
    <row r="5" ht="14.002500000000003" customHeight="1">
      <c r="A5" s="209"/>
      <c r="B5" s="209"/>
    </row>
    <row r="6" ht="14.002500000000003" customHeight="1">
      <c r="A6" s="209"/>
      <c r="B6" s="209"/>
    </row>
    <row r="7" ht="14.002500000000003" customHeight="1">
      <c r="A7" s="210" t="s">
        <v>181</v>
      </c>
      <c r="B7" s="220" t="s">
        <v>182</v>
      </c>
    </row>
    <row r="8" ht="14.002500000000003" customHeight="1">
      <c r="A8" s="221"/>
      <c r="B8" s="221"/>
    </row>
    <row r="9" ht="14.002500000000003" customHeight="1">
      <c r="E9" s="408" t="s">
        <v>183</v>
      </c>
      <c r="F9" s="408"/>
      <c r="G9" s="376" t="s">
        <v>184</v>
      </c>
      <c r="H9" s="376"/>
    </row>
    <row r="10" ht="14.002500000000003" customHeight="1">
      <c r="A10" s="368" t="s">
        <v>5</v>
      </c>
      <c r="B10" s="368" t="s">
        <v>185</v>
      </c>
      <c r="C10" s="368" t="s">
        <v>186</v>
      </c>
      <c r="D10" s="368" t="s">
        <v>187</v>
      </c>
      <c r="E10" s="368" t="s">
        <v>188</v>
      </c>
      <c r="F10" s="368" t="s">
        <v>189</v>
      </c>
      <c r="G10" s="368" t="s">
        <v>190</v>
      </c>
      <c r="H10" s="368"/>
      <c r="I10" s="409" t="s">
        <v>182</v>
      </c>
      <c r="J10" s="409"/>
      <c r="K10" s="409" t="s">
        <v>191</v>
      </c>
      <c r="L10" s="409"/>
    </row>
    <row r="11" ht="14.002500000000003" customHeight="1">
      <c r="A11" s="368"/>
      <c r="B11" s="368"/>
      <c r="C11" s="368"/>
      <c r="D11" s="368"/>
      <c r="E11" s="368"/>
      <c r="F11" s="368"/>
      <c r="G11" s="222" t="s">
        <v>192</v>
      </c>
      <c r="H11" s="222" t="s">
        <v>193</v>
      </c>
      <c r="I11" s="241" t="s">
        <v>192</v>
      </c>
      <c r="J11" s="241" t="s">
        <v>193</v>
      </c>
      <c r="K11" s="241" t="s">
        <v>192</v>
      </c>
      <c r="L11" s="241" t="s">
        <v>193</v>
      </c>
    </row>
    <row r="12" ht="14.002500000000003" customHeight="1">
      <c r="A12" s="212" t="n">
        <v>1</v>
      </c>
      <c r="B12" s="212" t="s">
        <f>'工程建设其他费细则说明'!B4</f>
        <v>137</v>
      </c>
      <c r="C12" s="223" t="n">
        <f>H112</f>
        <v>64.8932</v>
      </c>
      <c r="D12" s="223" t="n">
        <f>SUMIF(G$10:L$10,B$7,H12)</f>
        <v>0.8</v>
      </c>
      <c r="E12" s="223" t="n">
        <f>C12*D12</f>
        <v>51.91456</v>
      </c>
      <c r="F12" s="212" t="s">
        <v>86</v>
      </c>
      <c r="G12" s="212"/>
      <c r="H12" s="212" t="n">
        <v>0.3</v>
      </c>
      <c r="I12" s="242"/>
      <c r="J12" s="242" t="n">
        <v>0.8</v>
      </c>
      <c r="K12" s="242"/>
      <c r="L12" s="242" t="n">
        <v>0.7</v>
      </c>
    </row>
    <row r="13" ht="14.002500000000003" customHeight="1">
      <c r="A13" s="212" t="n">
        <v>2</v>
      </c>
      <c r="B13" s="212" t="s">
        <f>'工程建设其他费细则说明'!B18</f>
        <v>139</v>
      </c>
      <c r="C13" s="223" t="n">
        <f>C2*1%</f>
        <v>39.9288</v>
      </c>
      <c r="D13" s="223" t="n">
        <f>SUMIF(G$10:L$10,B$7,H13)</f>
        <v>0.6</v>
      </c>
      <c r="E13" s="223" t="n">
        <f>C13*D13</f>
        <v>23.95728</v>
      </c>
      <c r="F13" s="212" t="s">
        <v>86</v>
      </c>
      <c r="G13" s="212"/>
      <c r="H13" s="212" t="n">
        <v>0.6</v>
      </c>
      <c r="I13" s="242"/>
      <c r="J13" s="242" t="n">
        <v>0.6</v>
      </c>
      <c r="K13" s="242"/>
      <c r="L13" s="242" t="n">
        <v>0.6</v>
      </c>
    </row>
    <row r="14" ht="14.002500000000003" customHeight="1">
      <c r="A14" s="212" t="n">
        <v>3</v>
      </c>
      <c r="B14" s="212" t="s">
        <f>'工程建设其他费细则说明'!B21</f>
        <v>141</v>
      </c>
      <c r="C14" s="224" t="n">
        <f>G34</f>
        <v>16.5697956850979</v>
      </c>
      <c r="D14" s="223" t="n">
        <f>SUMIF(G$10:L$10,B$7,H14)</f>
        <v>0.5</v>
      </c>
      <c r="E14" s="223" t="n">
        <f>C14*D14</f>
        <v>8.28489784254895</v>
      </c>
      <c r="F14" s="212" t="s">
        <v>84</v>
      </c>
      <c r="G14" s="212"/>
      <c r="H14" s="212" t="n">
        <v>0.5</v>
      </c>
      <c r="I14" s="242"/>
      <c r="J14" s="242" t="n">
        <v>0.5</v>
      </c>
      <c r="K14" s="242"/>
      <c r="L14" s="242" t="n">
        <v>0.6</v>
      </c>
    </row>
    <row r="15" ht="14.002500000000003" customHeight="1">
      <c r="A15" s="212" t="n">
        <v>4</v>
      </c>
      <c r="B15" s="212" t="s">
        <f>'工程建设其他费细则说明'!B36</f>
        <v>143</v>
      </c>
      <c r="C15" s="212" t="n">
        <f>C2*1%</f>
        <v>39.9288</v>
      </c>
      <c r="D15" s="223" t="n">
        <f>SUMIF(G$10:L$10,B$7,H15)</f>
        <v>0.4</v>
      </c>
      <c r="E15" s="223" t="n">
        <f>C15*D15</f>
        <v>15.97152</v>
      </c>
      <c r="F15" s="212" t="s">
        <v>86</v>
      </c>
      <c r="G15" s="212"/>
      <c r="H15" s="212" t="n">
        <v>0.8</v>
      </c>
      <c r="I15" s="242"/>
      <c r="J15" s="242" t="n">
        <v>0.4</v>
      </c>
      <c r="K15" s="242"/>
      <c r="L15" s="242" t="n">
        <v>0.85</v>
      </c>
    </row>
    <row r="16" ht="14.002500000000003" customHeight="1">
      <c r="A16" s="212" t="n">
        <v>5</v>
      </c>
      <c r="B16" s="212" t="s">
        <f>'工程建设其他费细则说明'!B37</f>
        <v>144</v>
      </c>
      <c r="C16" s="223" t="n">
        <f>E123</f>
        <v>133.636044</v>
      </c>
      <c r="D16" s="223" t="n">
        <f>SUMIF(G$10:L$10,B$7,H16)</f>
        <v>0.4</v>
      </c>
      <c r="E16" s="223" t="n">
        <f>C16*D16</f>
        <v>53.4544176</v>
      </c>
      <c r="F16" s="212" t="s">
        <v>86</v>
      </c>
      <c r="G16" s="212"/>
      <c r="H16" s="212" t="n">
        <v>0.9</v>
      </c>
      <c r="I16" s="242"/>
      <c r="J16" s="242" t="n">
        <v>0.4</v>
      </c>
      <c r="K16" s="242"/>
      <c r="L16" s="242" t="n">
        <v>0.85</v>
      </c>
    </row>
    <row r="17" ht="14.002500000000003" customHeight="1">
      <c r="A17" s="212" t="n">
        <v>6</v>
      </c>
      <c r="B17" s="212" t="s">
        <f>'工程建设其他费细则说明'!B38</f>
        <v>146</v>
      </c>
      <c r="C17" s="223" t="n">
        <f>E147</f>
        <v>99.297988</v>
      </c>
      <c r="D17" s="223" t="n">
        <f>SUMIF(G$10:L$10,B$7,H17)</f>
        <v>0.7</v>
      </c>
      <c r="E17" s="223" t="n">
        <f>C17*D17</f>
        <v>69.5085916</v>
      </c>
      <c r="F17" s="212" t="s">
        <v>86</v>
      </c>
      <c r="G17" s="212"/>
      <c r="H17" s="212" t="n">
        <v>0.5</v>
      </c>
      <c r="I17" s="242"/>
      <c r="J17" s="242" t="n">
        <v>0.7</v>
      </c>
      <c r="K17" s="242"/>
      <c r="L17" s="242" t="n">
        <v>0.7</v>
      </c>
    </row>
    <row r="18" ht="14.002500000000003" customHeight="1">
      <c r="A18" s="212" t="n">
        <v>7</v>
      </c>
      <c r="B18" s="212" t="s">
        <f>'工程建设其他费细则说明'!B42</f>
        <v>148</v>
      </c>
      <c r="C18" s="224" t="n">
        <f>S57</f>
        <v>31.339588172</v>
      </c>
      <c r="D18" s="223" t="n">
        <f>SUMIF(G$10:L$10,B$7,H18)</f>
        <v>0.49</v>
      </c>
      <c r="E18" s="223" t="n">
        <f>C18*D18</f>
        <v>15.35639820428</v>
      </c>
      <c r="F18" s="212" t="s">
        <v>194</v>
      </c>
      <c r="G18" s="212"/>
      <c r="H18" s="212" t="n">
        <v>0.3</v>
      </c>
      <c r="I18" s="242"/>
      <c r="J18" s="242" t="n">
        <v>0.49</v>
      </c>
      <c r="K18" s="242"/>
      <c r="L18" s="242" t="n">
        <v>0.8</v>
      </c>
    </row>
    <row r="19" ht="14.002500000000003" customHeight="1">
      <c r="A19" s="212" t="n">
        <v>8</v>
      </c>
      <c r="B19" s="212" t="s">
        <f>'工程建设其他费细则说明'!B43</f>
        <v>150</v>
      </c>
      <c r="C19" s="223" t="n">
        <f>H181</f>
        <v>5.391456</v>
      </c>
      <c r="D19" s="223" t="n">
        <f>SUMIF(G$10:L$10,B$7,H19)</f>
        <v>0.7</v>
      </c>
      <c r="E19" s="223" t="n">
        <f>C19*D19</f>
        <v>3.7740192</v>
      </c>
      <c r="F19" s="212" t="s">
        <v>86</v>
      </c>
      <c r="G19" s="212"/>
      <c r="H19" s="212" t="n">
        <v>0.4</v>
      </c>
      <c r="I19" s="242"/>
      <c r="J19" s="242" t="n">
        <v>0.7</v>
      </c>
      <c r="K19" s="242"/>
      <c r="L19" s="242" t="n">
        <v>0.6</v>
      </c>
    </row>
    <row r="20" ht="14.002500000000003" customHeight="1">
      <c r="A20" s="212" t="n">
        <v>9</v>
      </c>
      <c r="B20" s="212" t="s">
        <f>'工程建设其他费细则说明'!B45</f>
        <v>152</v>
      </c>
      <c r="C20" s="223" t="n">
        <f>H169</f>
        <v>33.964464</v>
      </c>
      <c r="D20" s="223" t="n">
        <f>SUMIF(G$10:L$10,B$7,H20)</f>
        <v>0.5</v>
      </c>
      <c r="E20" s="223" t="n">
        <f>C20*D20</f>
        <v>16.982232</v>
      </c>
      <c r="F20" s="212" t="s">
        <v>86</v>
      </c>
      <c r="G20" s="212"/>
      <c r="H20" s="212" t="n">
        <v>0.7</v>
      </c>
      <c r="I20" s="242"/>
      <c r="J20" s="242" t="n">
        <v>0.5</v>
      </c>
      <c r="K20" s="242"/>
      <c r="L20" s="242" t="n">
        <v>0.7</v>
      </c>
    </row>
    <row r="21" ht="14.002500000000003" customHeight="1">
      <c r="A21" s="212" t="n">
        <v>10</v>
      </c>
      <c r="B21" s="212" t="s">
        <f>'工程建设其他费细则说明'!B46</f>
        <v>154</v>
      </c>
      <c r="C21" s="212" t="n">
        <f>C2*0.5%</f>
        <v>19.9644</v>
      </c>
      <c r="D21" s="223" t="n">
        <f>SUMIF(G$10:L$10,B$7,H21)</f>
        <v>0.7</v>
      </c>
      <c r="E21" s="223" t="n">
        <f>C21*D21</f>
        <v>13.97508</v>
      </c>
      <c r="F21" s="212" t="s">
        <v>86</v>
      </c>
      <c r="G21" s="212"/>
      <c r="H21" s="212" t="n">
        <v>0.6</v>
      </c>
      <c r="I21" s="242"/>
      <c r="J21" s="242" t="n">
        <v>0.7</v>
      </c>
      <c r="K21" s="242"/>
      <c r="L21" s="242" t="n">
        <v>0.7</v>
      </c>
    </row>
    <row r="22" ht="14.002500000000003" customHeight="1">
      <c r="A22" s="212" t="n">
        <v>11</v>
      </c>
      <c r="B22" s="212" t="s">
        <f>'工程建设其他费细则说明'!B23</f>
        <v>155</v>
      </c>
      <c r="C22" s="224" t="n">
        <f>G64</f>
        <v>5.11764705882353</v>
      </c>
      <c r="D22" s="223" t="n">
        <f>SUMIF(G$10:L$10,B$7,H22)</f>
        <v>0.7</v>
      </c>
      <c r="E22" s="223" t="n">
        <f>C22*D22</f>
        <v>3.58235294117647</v>
      </c>
      <c r="F22" s="212" t="s">
        <v>84</v>
      </c>
      <c r="G22" s="212"/>
      <c r="H22" s="212" t="n">
        <v>0.7</v>
      </c>
      <c r="I22" s="229"/>
      <c r="J22" s="242" t="n">
        <v>0.7</v>
      </c>
      <c r="K22" s="229"/>
      <c r="L22" s="242" t="n">
        <v>0.7</v>
      </c>
    </row>
    <row r="23" ht="14.002500000000003" customHeight="1">
      <c r="A23" s="212" t="n">
        <v>12</v>
      </c>
      <c r="B23" s="212" t="s">
        <f>'工程建设其他费细则说明'!B29</f>
        <v>157</v>
      </c>
      <c r="C23" s="212" t="n">
        <f>H218</f>
        <v>6</v>
      </c>
      <c r="D23" s="223" t="n">
        <f>SUMIF(G$10:L$10,B$7,H23)</f>
        <v>0.7</v>
      </c>
      <c r="E23" s="223" t="n">
        <f>C23*D23</f>
        <v>4.2</v>
      </c>
      <c r="F23" s="212" t="s">
        <v>86</v>
      </c>
      <c r="G23" s="212"/>
      <c r="H23" s="212" t="n">
        <v>0.7</v>
      </c>
      <c r="I23" s="229"/>
      <c r="J23" s="242" t="n">
        <v>0.7</v>
      </c>
      <c r="K23" s="229"/>
      <c r="L23" s="242" t="n">
        <v>0.7</v>
      </c>
    </row>
    <row r="24" ht="14.002500000000003" customHeight="1">
      <c r="A24" s="212" t="n">
        <v>13</v>
      </c>
      <c r="B24" s="212" t="s">
        <f>'工程建设其他费细则说明'!B27</f>
        <v>159</v>
      </c>
      <c r="C24" s="212" t="n">
        <f>G190</f>
        <v>30</v>
      </c>
      <c r="D24" s="223" t="n">
        <f>SUMIF(G$10:L$10,B$7,H24)</f>
        <v>0.7</v>
      </c>
      <c r="E24" s="223" t="n">
        <f>C24*D24</f>
        <v>21</v>
      </c>
      <c r="F24" s="212" t="s">
        <v>86</v>
      </c>
      <c r="G24" s="212"/>
      <c r="H24" s="212" t="n">
        <v>0.7</v>
      </c>
      <c r="I24" s="229"/>
      <c r="J24" s="242" t="n">
        <v>0.7</v>
      </c>
      <c r="K24" s="229"/>
      <c r="L24" s="242" t="n">
        <v>0.7</v>
      </c>
    </row>
    <row r="25" ht="14.002500000000003" customHeight="1">
      <c r="A25" s="212" t="n">
        <v>14</v>
      </c>
      <c r="B25" s="212" t="s">
        <f>'工程建设其他费细则说明'!B32</f>
        <v>161</v>
      </c>
      <c r="C25" s="212" t="n">
        <f>C2*0.5%</f>
        <v>19.9644</v>
      </c>
      <c r="D25" s="223" t="n">
        <f>SUMIF(G$10:L$10,B$7,H25)</f>
        <v>0.7</v>
      </c>
      <c r="E25" s="223" t="n">
        <f>C25*D25</f>
        <v>13.97508</v>
      </c>
      <c r="F25" s="212" t="s">
        <v>86</v>
      </c>
      <c r="G25" s="212"/>
      <c r="H25" s="212" t="n">
        <v>0.7</v>
      </c>
      <c r="I25" s="229"/>
      <c r="J25" s="242" t="n">
        <v>0.7</v>
      </c>
      <c r="K25" s="229"/>
      <c r="L25" s="242" t="n">
        <v>0.7</v>
      </c>
    </row>
    <row r="26" ht="14.002500000000003" customHeight="1">
      <c r="A26" s="212" t="n">
        <v>15</v>
      </c>
      <c r="B26" s="212" t="s">
        <f>'工程建设其他费细则说明'!B31</f>
        <v>162</v>
      </c>
      <c r="C26" s="224" t="n">
        <f>I75</f>
        <v>4.62857142857143</v>
      </c>
      <c r="D26" s="223" t="n">
        <f>SUMIF(G$10:L$10,B$7,H26)</f>
        <v>0.7</v>
      </c>
      <c r="E26" s="223" t="n">
        <f>C26*D26</f>
        <v>3.24</v>
      </c>
      <c r="F26" s="212" t="s">
        <v>84</v>
      </c>
      <c r="G26" s="212"/>
      <c r="H26" s="212" t="n">
        <v>0.7</v>
      </c>
      <c r="I26" s="229"/>
      <c r="J26" s="242" t="n">
        <v>0.7</v>
      </c>
      <c r="K26" s="229"/>
      <c r="L26" s="242" t="n">
        <v>0.7</v>
      </c>
    </row>
    <row r="27" ht="14.002500000000003" customHeight="1">
      <c r="A27" s="212" t="n">
        <v>16</v>
      </c>
      <c r="B27" s="212" t="s">
        <f>'工程建设其他费细则说明'!B24</f>
        <v>164</v>
      </c>
      <c r="C27" s="224" t="n">
        <f>G87</f>
        <v>7</v>
      </c>
      <c r="D27" s="223" t="n">
        <f>SUMIF(G$10:L$10,B$7,H27)</f>
        <v>0.7</v>
      </c>
      <c r="E27" s="223" t="n">
        <f>C27*D27</f>
        <v>4.9</v>
      </c>
      <c r="F27" s="212" t="s">
        <v>84</v>
      </c>
      <c r="G27" s="212"/>
      <c r="H27" s="212" t="n">
        <v>0.7</v>
      </c>
      <c r="I27" s="229"/>
      <c r="J27" s="242" t="n">
        <v>0.7</v>
      </c>
      <c r="K27" s="229"/>
      <c r="L27" s="242" t="n">
        <v>0.7</v>
      </c>
    </row>
    <row r="28" ht="14.002500000000003" customHeight="1">
      <c r="A28" s="212" t="n">
        <v>17</v>
      </c>
      <c r="B28" s="212" t="s">
        <f>'工程建设其他费细则说明'!B33</f>
        <v>166</v>
      </c>
      <c r="C28" s="224" t="n">
        <v>0</v>
      </c>
      <c r="D28" s="223" t="n">
        <f>SUMIF(G$10:L$10,B$7,H28)</f>
        <v>0.7</v>
      </c>
      <c r="E28" s="223" t="n">
        <f>C28*D28</f>
        <v>0</v>
      </c>
      <c r="F28" s="212" t="s">
        <v>36</v>
      </c>
      <c r="G28" s="212"/>
      <c r="H28" s="212" t="n">
        <v>0.7</v>
      </c>
      <c r="I28" s="229"/>
      <c r="J28" s="242" t="n">
        <v>0.7</v>
      </c>
      <c r="K28" s="229"/>
      <c r="L28" s="242" t="n">
        <v>0.7</v>
      </c>
    </row>
    <row r="29" ht="14.002500000000003" customHeight="1">
      <c r="A29" s="212" t="s">
        <v>195</v>
      </c>
      <c r="B29" s="212"/>
      <c r="C29" s="223" t="n">
        <f>SUM(C12:C28)</f>
        <v>557.625154344493</v>
      </c>
      <c r="D29" s="223"/>
      <c r="E29" s="223"/>
      <c r="F29" s="212"/>
      <c r="G29" s="212"/>
      <c r="H29" s="212"/>
      <c r="I29" s="229"/>
      <c r="J29" s="242"/>
      <c r="K29" s="229"/>
      <c r="L29" s="242"/>
    </row>
    <row r="31" ht="14.002500000000003" customHeight="1">
      <c r="G31" s="208"/>
      <c r="H31" s="208"/>
    </row>
    <row r="32" ht="14.002500000000003" customHeight="1">
      <c r="A32" s="396" t="s">
        <v>196</v>
      </c>
      <c r="B32" s="396"/>
      <c r="C32" s="396"/>
      <c r="D32" s="396"/>
      <c r="E32" s="396"/>
      <c r="F32" s="396"/>
      <c r="G32" s="396"/>
      <c r="H32" s="208"/>
      <c r="I32" s="406"/>
      <c r="J32" s="406"/>
      <c r="K32" s="406"/>
      <c r="L32" s="406"/>
      <c r="M32" s="406"/>
      <c r="N32" s="406"/>
      <c r="O32" s="406"/>
      <c r="P32" s="406"/>
      <c r="Q32" s="406"/>
      <c r="R32" s="406"/>
      <c r="S32" s="406"/>
      <c r="T32" s="406"/>
      <c r="U32" s="406"/>
      <c r="V32" s="244"/>
      <c r="W32" s="244"/>
    </row>
    <row r="33" ht="27" customHeight="1">
      <c r="A33" s="368" t="s">
        <v>5</v>
      </c>
      <c r="B33" s="368" t="s">
        <v>197</v>
      </c>
      <c r="C33" s="368"/>
      <c r="D33" s="368"/>
      <c r="E33" s="359" t="s">
        <v>198</v>
      </c>
      <c r="F33" s="225" t="s">
        <v>199</v>
      </c>
      <c r="G33" s="225" t="s">
        <v>200</v>
      </c>
      <c r="H33" s="208"/>
      <c r="I33" s="404"/>
      <c r="J33" s="404"/>
      <c r="K33" s="404"/>
      <c r="L33" s="406"/>
      <c r="M33" s="406"/>
      <c r="N33" s="406"/>
      <c r="O33" s="406"/>
      <c r="P33" s="407"/>
      <c r="Q33" s="406"/>
      <c r="R33" s="407"/>
      <c r="S33" s="406"/>
      <c r="T33" s="406"/>
      <c r="U33" s="406"/>
      <c r="V33" s="244"/>
      <c r="W33" s="244"/>
    </row>
    <row r="34" ht="14.002500000000003" customHeight="1">
      <c r="A34" s="368"/>
      <c r="B34" s="368"/>
      <c r="C34" s="368"/>
      <c r="D34" s="368"/>
      <c r="E34" s="360"/>
      <c r="F34" s="226" t="n">
        <f>E3</f>
        <v>5000</v>
      </c>
      <c r="G34" s="227" t="n">
        <f>SUM(G35:G41)</f>
        <v>16.5697956850979</v>
      </c>
      <c r="I34" s="243"/>
      <c r="J34" s="244"/>
      <c r="K34" s="244"/>
      <c r="L34" s="245"/>
      <c r="M34" s="246"/>
      <c r="N34" s="245"/>
      <c r="O34" s="246"/>
      <c r="P34" s="245"/>
      <c r="Q34" s="246"/>
      <c r="R34" s="245"/>
      <c r="S34" s="246"/>
      <c r="T34" s="245"/>
      <c r="U34" s="246"/>
      <c r="V34" s="244"/>
      <c r="W34" s="244"/>
    </row>
    <row r="35" ht="14.002500000000003" customHeight="1">
      <c r="A35" s="212" t="n">
        <v>1</v>
      </c>
      <c r="B35" s="212"/>
      <c r="C35" s="212" t="s">
        <v>201</v>
      </c>
      <c r="D35" s="212" t="n">
        <v>1000</v>
      </c>
      <c r="E35" s="212" t="n">
        <v>3</v>
      </c>
      <c r="F35" s="228" t="n">
        <f>IF(F34&lt;=D35,1,0)</f>
        <v>0</v>
      </c>
      <c r="G35" s="223" t="n">
        <f>IF($F35=1,(E35/D35*$F34),0)</f>
        <v>0</v>
      </c>
      <c r="I35" s="243"/>
      <c r="J35" s="244"/>
      <c r="K35" s="244"/>
      <c r="L35" s="245"/>
      <c r="M35" s="246"/>
      <c r="N35" s="245"/>
      <c r="O35" s="246"/>
      <c r="P35" s="245"/>
      <c r="Q35" s="246"/>
      <c r="R35" s="245"/>
      <c r="S35" s="246"/>
      <c r="T35" s="245"/>
      <c r="U35" s="246"/>
      <c r="V35" s="244"/>
      <c r="W35" s="244"/>
    </row>
    <row r="36" ht="14.002500000000003" customHeight="1">
      <c r="A36" s="212" t="n">
        <v>2</v>
      </c>
      <c r="B36" s="212" t="n">
        <v>1001</v>
      </c>
      <c r="C36" s="212" t="s">
        <v>202</v>
      </c>
      <c r="D36" s="212" t="n">
        <v>3000</v>
      </c>
      <c r="E36" s="212" t="n">
        <v>6</v>
      </c>
      <c r="F36" s="228" t="n">
        <f>IF(AND($F$34&lt;=D36,$F$34&gt;B36),1,0)</f>
        <v>0</v>
      </c>
      <c r="G36" s="223" t="n">
        <f>IF($F36=1,(E36+((E37-E36)/(D36-B36)*($F$34-B36))),0)</f>
        <v>0</v>
      </c>
      <c r="I36" s="243"/>
      <c r="J36" s="244"/>
      <c r="K36" s="244"/>
      <c r="L36" s="245"/>
      <c r="M36" s="246"/>
      <c r="N36" s="245"/>
      <c r="O36" s="246"/>
      <c r="P36" s="245"/>
      <c r="Q36" s="246"/>
      <c r="R36" s="245"/>
      <c r="S36" s="246"/>
      <c r="T36" s="245"/>
      <c r="U36" s="246"/>
      <c r="V36" s="244"/>
      <c r="W36" s="244"/>
    </row>
    <row r="37" ht="14.002500000000003" customHeight="1">
      <c r="A37" s="212" t="n">
        <v>3</v>
      </c>
      <c r="B37" s="212" t="n">
        <v>3001</v>
      </c>
      <c r="C37" s="212" t="s">
        <v>202</v>
      </c>
      <c r="D37" s="212" t="n">
        <v>10000</v>
      </c>
      <c r="E37" s="212" t="n">
        <v>12</v>
      </c>
      <c r="F37" s="228" t="n">
        <f>IF(AND($F$34&lt;=D37,$F$34&gt;B37),1,0)</f>
        <v>1</v>
      </c>
      <c r="G37" s="223" t="n">
        <f>IF($F37=1,(E37+((E38-E37)/(D37-B37)*($F$34-B37))),0)</f>
        <v>16.5697956850979</v>
      </c>
      <c r="I37" s="243"/>
      <c r="J37" s="244"/>
      <c r="K37" s="244"/>
      <c r="L37" s="245"/>
      <c r="M37" s="246"/>
      <c r="N37" s="245"/>
      <c r="O37" s="246"/>
      <c r="P37" s="245"/>
      <c r="Q37" s="246"/>
      <c r="R37" s="245"/>
      <c r="S37" s="246"/>
      <c r="T37" s="245"/>
      <c r="U37" s="246"/>
      <c r="V37" s="244"/>
      <c r="W37" s="244"/>
    </row>
    <row r="38" ht="14.002500000000003" customHeight="1">
      <c r="A38" s="212" t="n">
        <v>4</v>
      </c>
      <c r="B38" s="212" t="n">
        <v>10001</v>
      </c>
      <c r="C38" s="212" t="s">
        <v>202</v>
      </c>
      <c r="D38" s="212" t="n">
        <v>50000</v>
      </c>
      <c r="E38" s="212" t="n">
        <v>28</v>
      </c>
      <c r="F38" s="228" t="n">
        <f>IF(AND($F$34&lt;=D38,$F$34&gt;B38),1,0)</f>
        <v>0</v>
      </c>
      <c r="G38" s="223" t="n">
        <f>IF($F38=1,(E38+((E39-E38)/(D38-B38)*($F$34-B38))),0)</f>
        <v>0</v>
      </c>
      <c r="I38" s="243"/>
      <c r="J38" s="244"/>
      <c r="K38" s="244"/>
      <c r="L38" s="245"/>
      <c r="M38" s="246"/>
      <c r="N38" s="245"/>
      <c r="O38" s="246"/>
      <c r="P38" s="245"/>
      <c r="Q38" s="246"/>
      <c r="R38" s="245"/>
      <c r="S38" s="246"/>
      <c r="T38" s="245"/>
      <c r="U38" s="246"/>
      <c r="V38" s="244"/>
      <c r="W38" s="244"/>
    </row>
    <row r="39" ht="14.002500000000003" customHeight="1">
      <c r="A39" s="212" t="n">
        <v>5</v>
      </c>
      <c r="B39" s="212" t="n">
        <v>50001</v>
      </c>
      <c r="C39" s="212" t="s">
        <v>202</v>
      </c>
      <c r="D39" s="212" t="n">
        <v>100000</v>
      </c>
      <c r="E39" s="212" t="n">
        <v>75</v>
      </c>
      <c r="F39" s="228" t="n">
        <f>IF(AND($F$34&lt;=D39,$F$34&gt;B39),1,0)</f>
        <v>0</v>
      </c>
      <c r="G39" s="223" t="n">
        <f>IF($F39=1,(E39+((E40-E39)/(D39-B39)*($F$34-B39))),0)</f>
        <v>0</v>
      </c>
      <c r="I39" s="243"/>
      <c r="J39" s="244"/>
      <c r="K39" s="244"/>
      <c r="L39" s="245"/>
      <c r="M39" s="246"/>
      <c r="N39" s="245"/>
      <c r="O39" s="246"/>
      <c r="P39" s="245"/>
      <c r="Q39" s="246"/>
      <c r="R39" s="245"/>
      <c r="S39" s="246"/>
      <c r="T39" s="245"/>
      <c r="U39" s="246"/>
      <c r="V39" s="404"/>
      <c r="W39" s="404"/>
    </row>
    <row r="40" ht="14.002500000000003" customHeight="1">
      <c r="A40" s="212" t="n">
        <v>6</v>
      </c>
      <c r="B40" s="212" t="n">
        <v>100000</v>
      </c>
      <c r="C40" s="212" t="s">
        <v>202</v>
      </c>
      <c r="D40" s="212" t="n">
        <v>500000</v>
      </c>
      <c r="E40" s="212" t="n">
        <v>110</v>
      </c>
      <c r="F40" s="228" t="n">
        <f>IF(AND($F$34&lt;=D40,$F$34&gt;B40),1,0)</f>
        <v>0</v>
      </c>
      <c r="G40" s="223" t="n">
        <f>IF($F40=1,(E40+((E41-E40)/(D40-B40)*($F$34-B40))),0)</f>
        <v>0</v>
      </c>
      <c r="I40" s="244"/>
      <c r="J40" s="244"/>
      <c r="K40" s="244"/>
      <c r="L40" s="405"/>
      <c r="M40" s="405"/>
      <c r="N40" s="405"/>
      <c r="O40" s="405"/>
      <c r="P40" s="405"/>
      <c r="Q40" s="405"/>
      <c r="R40" s="405"/>
      <c r="S40" s="405"/>
      <c r="T40" s="405"/>
      <c r="U40" s="405"/>
      <c r="V40" s="405"/>
      <c r="W40" s="405"/>
    </row>
    <row r="41" ht="14.002500000000003" customHeight="1">
      <c r="A41" s="212" t="n">
        <v>7</v>
      </c>
      <c r="B41" s="212" t="n">
        <v>500000</v>
      </c>
      <c r="C41" s="212"/>
      <c r="D41" s="229"/>
      <c r="E41" s="212" t="n">
        <v>200</v>
      </c>
      <c r="F41" s="228" t="n">
        <f>IF(AND($F$34&gt;B41),1,0)</f>
        <v>0</v>
      </c>
      <c r="G41" s="223" t="n">
        <f>IF($F41=1,MIN(250,F34*E41/B41),0)</f>
        <v>0</v>
      </c>
      <c r="I41" s="243"/>
      <c r="J41" s="244"/>
      <c r="K41" s="244"/>
      <c r="L41" s="404"/>
      <c r="M41" s="404"/>
      <c r="N41" s="404"/>
      <c r="O41" s="404"/>
      <c r="P41" s="404"/>
      <c r="Q41" s="404"/>
      <c r="R41" s="404"/>
      <c r="S41" s="404"/>
      <c r="T41" s="404"/>
      <c r="U41" s="404"/>
      <c r="V41" s="244"/>
      <c r="W41" s="244"/>
    </row>
    <row r="42" ht="14.002500000000003" customHeight="1">
      <c r="E42" s="209"/>
      <c r="I42" s="243"/>
      <c r="J42" s="244"/>
      <c r="K42" s="244"/>
      <c r="L42" s="404"/>
      <c r="M42" s="404"/>
      <c r="N42" s="404"/>
      <c r="O42" s="404"/>
      <c r="P42" s="404"/>
      <c r="Q42" s="404"/>
      <c r="R42" s="404"/>
      <c r="S42" s="404"/>
      <c r="T42" s="404"/>
      <c r="U42" s="404"/>
      <c r="V42" s="244"/>
      <c r="W42" s="244"/>
    </row>
    <row r="43" ht="14.002500000000003" customHeight="1">
      <c r="A43" s="209"/>
      <c r="B43" s="209"/>
      <c r="C43" s="209"/>
      <c r="D43" s="209"/>
      <c r="E43" s="230"/>
      <c r="F43" s="231"/>
      <c r="G43" s="232"/>
    </row>
    <row r="44" ht="14.002500000000003" customHeight="1">
      <c r="A44" s="390" t="s">
        <v>203</v>
      </c>
      <c r="B44" s="391"/>
      <c r="C44" s="391"/>
      <c r="D44" s="391"/>
      <c r="E44" s="391"/>
      <c r="F44" s="391"/>
      <c r="G44" s="391"/>
      <c r="H44" s="391"/>
      <c r="I44" s="391"/>
      <c r="J44" s="391"/>
      <c r="K44" s="391"/>
      <c r="L44" s="391"/>
      <c r="M44" s="391"/>
      <c r="N44" s="391"/>
      <c r="O44" s="391"/>
      <c r="P44" s="391"/>
      <c r="Q44" s="391"/>
      <c r="R44" s="392"/>
    </row>
    <row r="45" ht="14.002500000000003" customHeight="1">
      <c r="A45" s="362" t="s">
        <v>197</v>
      </c>
      <c r="B45" s="363"/>
      <c r="C45" s="364"/>
      <c r="D45" s="368" t="s">
        <v>204</v>
      </c>
      <c r="E45" s="368"/>
      <c r="F45" s="368"/>
      <c r="G45" s="368" t="s">
        <v>205</v>
      </c>
      <c r="H45" s="368"/>
      <c r="I45" s="368"/>
      <c r="J45" s="368" t="s">
        <v>206</v>
      </c>
      <c r="K45" s="368"/>
      <c r="L45" s="368"/>
      <c r="M45" s="368" t="s">
        <v>207</v>
      </c>
      <c r="N45" s="368"/>
      <c r="O45" s="368"/>
      <c r="P45" s="368" t="s">
        <v>208</v>
      </c>
      <c r="Q45" s="368"/>
      <c r="R45" s="368"/>
    </row>
    <row r="46" ht="14.002500000000003" customHeight="1">
      <c r="A46" s="365"/>
      <c r="B46" s="366"/>
      <c r="C46" s="367"/>
      <c r="D46" s="398" t="n">
        <f>C4</f>
        <v>564.9</v>
      </c>
      <c r="E46" s="398"/>
      <c r="F46" s="398"/>
      <c r="G46" s="398" t="n">
        <f>C15</f>
        <v>39.9288</v>
      </c>
      <c r="H46" s="398"/>
      <c r="I46" s="398"/>
      <c r="J46" s="399" t="n">
        <f>C16</f>
        <v>133.636044</v>
      </c>
      <c r="K46" s="398"/>
      <c r="L46" s="398"/>
      <c r="M46" s="399" t="n">
        <f>C17</f>
        <v>99.297988</v>
      </c>
      <c r="N46" s="398"/>
      <c r="O46" s="398"/>
      <c r="P46" s="398" t="n">
        <f>C2-C4</f>
        <v>3427.98</v>
      </c>
      <c r="Q46" s="398"/>
      <c r="R46" s="398"/>
    </row>
    <row r="47" ht="14.002500000000003" customHeight="1">
      <c r="A47" s="229"/>
      <c r="B47" s="212" t="s">
        <v>209</v>
      </c>
      <c r="C47" s="229" t="n">
        <v>100</v>
      </c>
      <c r="D47" s="229" t="n">
        <f>C47*E47</f>
        <v>1.5</v>
      </c>
      <c r="E47" s="233" t="n">
        <v>0.015</v>
      </c>
      <c r="F47" s="229" t="n">
        <f>IF(D46&lt;=C47,D46*E47,0)</f>
        <v>0</v>
      </c>
      <c r="G47" s="229" t="n">
        <f>C47*H47</f>
        <v>1.5</v>
      </c>
      <c r="H47" s="234" t="n">
        <v>0.015</v>
      </c>
      <c r="I47" s="229" t="n">
        <f>IF(H46&lt;=C47,H46*H47,0)</f>
        <v>0</v>
      </c>
      <c r="J47" s="229" t="n">
        <f>C47*K47</f>
        <v>1.5</v>
      </c>
      <c r="K47" s="234" t="n">
        <v>0.015</v>
      </c>
      <c r="L47" s="229" t="n">
        <f>IF(J46&lt;=C47,J46*K47,0)</f>
        <v>0</v>
      </c>
      <c r="M47" s="229" t="n">
        <f>C47*N47</f>
        <v>1.5</v>
      </c>
      <c r="N47" s="234" t="n">
        <v>0.015</v>
      </c>
      <c r="O47" s="229" t="n">
        <f>IF(M46&lt;=C47,M46*N47,0)</f>
        <v>1.48946982</v>
      </c>
      <c r="P47" s="229" t="n">
        <f>C47*Q47</f>
        <v>1</v>
      </c>
      <c r="Q47" s="234" t="n">
        <v>0.01</v>
      </c>
      <c r="R47" s="229" t="n">
        <f>IF(P46&lt;=C47,P46*Q47,0)</f>
        <v>0</v>
      </c>
    </row>
    <row r="48" ht="14.002500000000003" customHeight="1">
      <c r="A48" s="229" t="n">
        <v>100</v>
      </c>
      <c r="B48" s="212" t="s">
        <v>202</v>
      </c>
      <c r="C48" s="229" t="n">
        <v>500</v>
      </c>
      <c r="D48" s="229" t="n">
        <f>D47+(C48-A48)*E48</f>
        <v>5.9</v>
      </c>
      <c r="E48" s="233" t="n">
        <v>0.011</v>
      </c>
      <c r="F48" s="229" t="n">
        <f>IF(AND($D$46&gt;A48,$D$458&lt;C48),(D47+($D$46-C47)*E48),0)</f>
        <v>6.6139</v>
      </c>
      <c r="G48" s="229" t="n">
        <f>G47+(C48-C47)*H48</f>
        <v>4.7</v>
      </c>
      <c r="H48" s="234" t="n">
        <v>0.008</v>
      </c>
      <c r="I48" s="229" t="n">
        <f>IF(AND($G$46&gt;A48,$G$46&lt;C48),(G47+($G$46-C47)*H48),0)</f>
        <v>0</v>
      </c>
      <c r="J48" s="229" t="n">
        <f>J47+(C48-A48)*K48</f>
        <v>4.7</v>
      </c>
      <c r="K48" s="234" t="n">
        <v>0.008</v>
      </c>
      <c r="L48" s="229" t="n">
        <f>IF(AND($J$46&gt;A48,$J$46&lt;C48),(J47+($J$46-C47)*K48),0)</f>
        <v>1.769088352</v>
      </c>
      <c r="M48" s="229" t="n">
        <f>M47+(C48-C47)*N48</f>
        <v>4.7</v>
      </c>
      <c r="N48" s="234" t="n">
        <v>0.008</v>
      </c>
      <c r="O48" s="229" t="n">
        <f>IF(AND($M$46&gt;A48,$M$46&lt;C48),(M47+($M$46-C47)*N48),0)</f>
        <v>0</v>
      </c>
      <c r="P48" s="229" t="n">
        <f>P47+(C48-C47)*Q48</f>
        <v>3.8</v>
      </c>
      <c r="Q48" s="234" t="n">
        <v>0.007</v>
      </c>
      <c r="R48" s="229" t="n">
        <f>IF(AND($P$46&gt;A48,$P$46&lt;C48),(P47+($P$46-C47)*Q48),0)</f>
        <v>0</v>
      </c>
    </row>
    <row r="49" ht="14.002500000000003" customHeight="1">
      <c r="A49" s="229" t="n">
        <v>500</v>
      </c>
      <c r="B49" s="212" t="s">
        <v>202</v>
      </c>
      <c r="C49" s="229" t="n">
        <v>1000</v>
      </c>
      <c r="D49" s="229" t="n">
        <f>D48+(C49-A49)*E49</f>
        <v>9.9</v>
      </c>
      <c r="E49" s="233" t="n">
        <v>0.008</v>
      </c>
      <c r="F49" s="229" t="n">
        <f>IF(AND($D$46&gt;A49,$D$458&lt;C49),(D48+($D$46-C48)*E49),0)</f>
        <v>6.4192</v>
      </c>
      <c r="G49" s="229" t="n">
        <f>G48+(C49-C48)*H49</f>
        <v>6.95</v>
      </c>
      <c r="H49" s="234" t="n">
        <v>0.0045</v>
      </c>
      <c r="I49" s="229" t="n">
        <f>IF(AND($G$46&gt;A49,$G$46&lt;C49),(G48+($G$46-C48)*H49),0)</f>
        <v>0</v>
      </c>
      <c r="J49" s="229" t="n">
        <f>J48+(C49-A49)*K49</f>
        <v>6.95</v>
      </c>
      <c r="K49" s="234" t="n">
        <v>0.0045</v>
      </c>
      <c r="L49" s="229" t="n">
        <f>IF(AND($J$46&gt;A49,$J$46&lt;C49),(J48+($J$46-C48)*K49),0)</f>
        <v>0</v>
      </c>
      <c r="M49" s="229" t="n">
        <f>M48+(C49-C48)*N49</f>
        <v>6.95</v>
      </c>
      <c r="N49" s="234" t="n">
        <v>0.0045</v>
      </c>
      <c r="O49" s="229" t="n">
        <f>IF(AND($M$46&gt;A49,$M$46&lt;C49),(M48+($M$46-C48)*N49),0)</f>
        <v>0</v>
      </c>
      <c r="P49" s="229" t="n">
        <f>P48+(C49-C48)*Q49</f>
        <v>6.55</v>
      </c>
      <c r="Q49" s="234" t="n">
        <v>0.0055</v>
      </c>
      <c r="R49" s="229" t="n">
        <f>IF(AND($P$46&gt;A49,$P$46&lt;C49),(P48+($P$46-C48)*Q49),0)</f>
        <v>0</v>
      </c>
    </row>
    <row r="50" ht="14.002500000000003" customHeight="1">
      <c r="A50" s="229" t="n">
        <v>1000</v>
      </c>
      <c r="B50" s="212" t="s">
        <v>202</v>
      </c>
      <c r="C50" s="229" t="n">
        <v>5000</v>
      </c>
      <c r="D50" s="229" t="n">
        <f>D49+(C50-A50)*E50</f>
        <v>29.9</v>
      </c>
      <c r="E50" s="233" t="n">
        <v>0.005</v>
      </c>
      <c r="F50" s="229" t="n">
        <f>IF(AND($D$46&gt;A50,$D$458&lt;C50),(D49+($D$46-C49)*E50),0)</f>
        <v>0</v>
      </c>
      <c r="G50" s="229" t="n">
        <f>G49+(C50-C49)*H50</f>
        <v>16.95</v>
      </c>
      <c r="H50" s="234" t="n">
        <v>0.0025</v>
      </c>
      <c r="I50" s="229" t="n">
        <f>IF(AND($G$46&gt;A50,$G$46&lt;C50),(G49+($G$46-C49)*H50),0)</f>
        <v>0</v>
      </c>
      <c r="J50" s="229" t="n">
        <f>J49+(C50-A50)*K50</f>
        <v>16.95</v>
      </c>
      <c r="K50" s="234" t="n">
        <v>0.0025</v>
      </c>
      <c r="L50" s="229" t="n">
        <f>IF(AND($J$46&gt;A50,$J$46&lt;C50),(J49+($J$46-C49)*K50),0)</f>
        <v>0</v>
      </c>
      <c r="M50" s="229" t="n">
        <f>M49+(C50-C49)*N50</f>
        <v>16.95</v>
      </c>
      <c r="N50" s="234" t="n">
        <v>0.0025</v>
      </c>
      <c r="O50" s="229" t="n">
        <f>IF(AND($M$46&gt;A50,$M$46&lt;C50),(M49+($M$46-C49)*N50),0)</f>
        <v>0</v>
      </c>
      <c r="P50" s="229" t="n">
        <f>P49+(C50-C49)*Q50</f>
        <v>20.55</v>
      </c>
      <c r="Q50" s="234" t="n">
        <v>0.0035</v>
      </c>
      <c r="R50" s="229" t="n">
        <f>IF(AND($P$46&gt;A50,$P$46&lt;C50),(P49+($P$46-C49)*Q50),0)</f>
        <v>15.04793</v>
      </c>
    </row>
    <row r="51" ht="14.002500000000003" customHeight="1">
      <c r="A51" s="229" t="n">
        <v>5000</v>
      </c>
      <c r="B51" s="212" t="s">
        <v>202</v>
      </c>
      <c r="C51" s="229" t="n">
        <v>10000</v>
      </c>
      <c r="D51" s="229" t="n">
        <f>D50+(C51-A51)*E51</f>
        <v>42.4</v>
      </c>
      <c r="E51" s="233" t="n">
        <v>0.0025</v>
      </c>
      <c r="F51" s="229" t="n">
        <f>IF(AND($D$46&gt;A51,$D$458&lt;C51),(D50+($D$46-C50)*E51),0)</f>
        <v>0</v>
      </c>
      <c r="G51" s="229" t="n">
        <f>G50+(C51-C50)*H51</f>
        <v>21.95</v>
      </c>
      <c r="H51" s="234" t="n">
        <v>0.001</v>
      </c>
      <c r="I51" s="229" t="n">
        <f>IF(AND($G$46&gt;A51,$G$46&lt;C51),(G50+($G$46-C50)*H51),0)</f>
        <v>0</v>
      </c>
      <c r="J51" s="229" t="n">
        <f>J50+(C51-A51)*K51</f>
        <v>21.95</v>
      </c>
      <c r="K51" s="234" t="n">
        <v>0.001</v>
      </c>
      <c r="L51" s="229" t="n">
        <f>IF(AND($J$46&gt;A51,$J$46&lt;C51),(J50+($J$46-C50)*K51),0)</f>
        <v>0</v>
      </c>
      <c r="M51" s="229" t="n">
        <f>M50+(C51-C50)*N51</f>
        <v>21.95</v>
      </c>
      <c r="N51" s="234" t="n">
        <v>0.001</v>
      </c>
      <c r="O51" s="229" t="n">
        <f>IF(AND($M$46&gt;A51,$M$46&lt;C51),(M50+($M$46-C50)*N51),0)</f>
        <v>0</v>
      </c>
      <c r="P51" s="229" t="n">
        <f>P50+(C51-C50)*Q51</f>
        <v>30.55</v>
      </c>
      <c r="Q51" s="234" t="n">
        <v>0.002</v>
      </c>
      <c r="R51" s="229" t="n">
        <f>IF(AND($P$46&gt;A51,$P$46&lt;C51),(P50+($P$46-C50)*Q51),0)</f>
        <v>0</v>
      </c>
    </row>
    <row r="52" ht="14.002500000000003" customHeight="1">
      <c r="A52" s="229" t="n">
        <v>10000</v>
      </c>
      <c r="B52" s="212" t="s">
        <v>202</v>
      </c>
      <c r="C52" s="229" t="n">
        <v>50000</v>
      </c>
      <c r="D52" s="229" t="n">
        <f>D51+(C52-A52)*E52</f>
        <v>62.4</v>
      </c>
      <c r="E52" s="233" t="n">
        <v>0.0005</v>
      </c>
      <c r="F52" s="229" t="n">
        <f>IF(AND($D$46&gt;A52,$D$458&lt;C52),(D51+($D$46-C51)*E52),0)</f>
        <v>0</v>
      </c>
      <c r="G52" s="229" t="n">
        <f>G51+(C52-C51)*H52</f>
        <v>41.95</v>
      </c>
      <c r="H52" s="234" t="n">
        <v>0.0005</v>
      </c>
      <c r="I52" s="229" t="n">
        <f>IF(AND($G$46&gt;A52,$G$46&lt;C52),(G51+($G$46-C51)*H52),0)</f>
        <v>0</v>
      </c>
      <c r="J52" s="229" t="n">
        <f>J51+(C52-A52)*K52</f>
        <v>41.95</v>
      </c>
      <c r="K52" s="234" t="n">
        <v>0.0005</v>
      </c>
      <c r="L52" s="229" t="n">
        <f>IF(AND($J$46&gt;A52,$J$46&lt;C52),(J51+($J$46-C51)*K52),0)</f>
        <v>0</v>
      </c>
      <c r="M52" s="229" t="n">
        <f>M51+(C52-C51)*N52</f>
        <v>41.95</v>
      </c>
      <c r="N52" s="234" t="n">
        <v>0.0005</v>
      </c>
      <c r="O52" s="229" t="n">
        <f>IF(AND($M$46&gt;A52,$M$46&lt;C52),(M51+($M$46-C51)*N52),0)</f>
        <v>0</v>
      </c>
      <c r="P52" s="229" t="n">
        <f>P51+(C52-C51)*Q52</f>
        <v>50.55</v>
      </c>
      <c r="Q52" s="234" t="n">
        <v>0.0005</v>
      </c>
      <c r="R52" s="229" t="n">
        <f>IF(AND($P$46&gt;A52,$P$46&lt;C52),(P51+($P$46-C51)*Q52),0)</f>
        <v>0</v>
      </c>
    </row>
    <row r="53" ht="14.002500000000003" customHeight="1">
      <c r="A53" s="229" t="n">
        <v>50000</v>
      </c>
      <c r="B53" s="212" t="s">
        <v>202</v>
      </c>
      <c r="C53" s="229" t="n">
        <v>100000</v>
      </c>
      <c r="D53" s="229" t="n">
        <f>D52+(C53-A53)*E53</f>
        <v>79.9</v>
      </c>
      <c r="E53" s="235" t="n">
        <v>0.00035</v>
      </c>
      <c r="F53" s="229" t="n">
        <f>IF(AND($D$46&gt;A53,$D$458&lt;C53),(D52+($D$46-C52)*E53),0)</f>
        <v>0</v>
      </c>
      <c r="G53" s="229" t="n">
        <f>G52+(C53-C52)*H53</f>
        <v>59.45</v>
      </c>
      <c r="H53" s="235" t="n">
        <v>0.00035</v>
      </c>
      <c r="I53" s="229" t="n">
        <f>IF(AND($G$46&gt;A53,$G$46&lt;C53),(G52+($G$46-C52)*H53),0)</f>
        <v>0</v>
      </c>
      <c r="J53" s="229" t="n">
        <f>J52+(C53-A53)*K53</f>
        <v>59.45</v>
      </c>
      <c r="K53" s="235" t="n">
        <v>0.00035</v>
      </c>
      <c r="L53" s="229" t="n">
        <f>IF(AND($J$46&gt;A53,$J$46&lt;C53),(J52+($J$46-C52)*K53),0)</f>
        <v>0</v>
      </c>
      <c r="M53" s="229" t="n">
        <f>M52+(C53-C52)*N53</f>
        <v>59.45</v>
      </c>
      <c r="N53" s="235" t="n">
        <v>0.00035</v>
      </c>
      <c r="O53" s="229" t="n">
        <f>IF(AND($M$46&gt;A53,$M$46&lt;C53),(M52+($M$46-C52)*N53),0)</f>
        <v>0</v>
      </c>
      <c r="P53" s="229" t="n">
        <f>P52+(C53-C52)*Q53</f>
        <v>68.05</v>
      </c>
      <c r="Q53" s="235" t="n">
        <v>0.00035</v>
      </c>
      <c r="R53" s="229" t="n">
        <f>IF(AND($P$46&gt;A53,$P$46&lt;C53),(P52+($P$46-C52)*Q53),0)</f>
        <v>0</v>
      </c>
    </row>
    <row r="54" ht="14.002500000000003" customHeight="1">
      <c r="A54" s="229" t="n">
        <v>100000</v>
      </c>
      <c r="B54" s="212" t="s">
        <v>202</v>
      </c>
      <c r="C54" s="229" t="n">
        <v>500000</v>
      </c>
      <c r="D54" s="229" t="n">
        <f>D53+(C54-A54)*E54</f>
        <v>111.9</v>
      </c>
      <c r="E54" s="235" t="n">
        <v>0.00008</v>
      </c>
      <c r="F54" s="229" t="n">
        <f>IF(AND($D$46&gt;A54,$D$458&lt;C54),(D53+($D$46-C53)*E54),0)</f>
        <v>0</v>
      </c>
      <c r="G54" s="229" t="n">
        <f>G53+(C54-C53)*H54</f>
        <v>91.45</v>
      </c>
      <c r="H54" s="235" t="n">
        <v>0.00008</v>
      </c>
      <c r="I54" s="229" t="n">
        <f>IF(AND($G$46&gt;A54,$G$46&lt;C54),(G53+($G$46-C53)*H54),0)</f>
        <v>0</v>
      </c>
      <c r="J54" s="229" t="n">
        <f>J53+(C54-A54)*K54</f>
        <v>91.45</v>
      </c>
      <c r="K54" s="235" t="n">
        <v>0.00008</v>
      </c>
      <c r="L54" s="229" t="n">
        <f>IF(AND($J$46&gt;A54,$J$46&lt;C54),(J53+($J$46-C53)*K54),0)</f>
        <v>0</v>
      </c>
      <c r="M54" s="229" t="n">
        <f>M53+(C54-C53)*N54</f>
        <v>91.45</v>
      </c>
      <c r="N54" s="235" t="n">
        <v>0.00008</v>
      </c>
      <c r="O54" s="229" t="n">
        <f>IF(AND($M$46&gt;A54,$M$46&lt;C54),(M53+($M$46-C53)*N54),0)</f>
        <v>0</v>
      </c>
      <c r="P54" s="229" t="n">
        <f>P53+(C54-C53)*Q54</f>
        <v>100.05</v>
      </c>
      <c r="Q54" s="235" t="n">
        <v>0.00008</v>
      </c>
      <c r="R54" s="229" t="n">
        <f>IF(AND($P$46&gt;A54,$P$46&lt;C54),(P53+($P$46-C53)*Q54),0)</f>
        <v>0</v>
      </c>
    </row>
    <row r="55" ht="14.002500000000003" customHeight="1">
      <c r="A55" s="229" t="n">
        <v>500000</v>
      </c>
      <c r="B55" s="212" t="s">
        <v>202</v>
      </c>
      <c r="C55" s="229" t="n">
        <v>1000000</v>
      </c>
      <c r="D55" s="229" t="n">
        <f>D54+(C55-A55)*E55</f>
        <v>141.9</v>
      </c>
      <c r="E55" s="235" t="n">
        <v>0.00006</v>
      </c>
      <c r="F55" s="229" t="n">
        <f>IF(AND($D$46&gt;A55,$D$458&lt;C55),(D54+($D$46-C54)*E55),0)</f>
        <v>0</v>
      </c>
      <c r="G55" s="229" t="n">
        <f>G54+(C55-C54)*H55</f>
        <v>121.45</v>
      </c>
      <c r="H55" s="235" t="n">
        <v>0.00006</v>
      </c>
      <c r="I55" s="229" t="n">
        <f>IF(AND($G$46&gt;A55,$G$46&lt;C55),(G54+($G$46-C54)*H55),0)</f>
        <v>0</v>
      </c>
      <c r="J55" s="229" t="n">
        <f>J54+(C55-A55)*K55</f>
        <v>121.45</v>
      </c>
      <c r="K55" s="235" t="n">
        <v>0.00006</v>
      </c>
      <c r="L55" s="229" t="n">
        <f>IF(AND($J$46&gt;A55,$J$46&lt;C55),(J54+($J$46-C54)*K55),0)</f>
        <v>0</v>
      </c>
      <c r="M55" s="229" t="n">
        <f>M54+(C55-C54)*N55</f>
        <v>121.45</v>
      </c>
      <c r="N55" s="235" t="n">
        <v>0.00006</v>
      </c>
      <c r="O55" s="229" t="n">
        <f>IF(AND($M$46&gt;A55,$M$46&lt;C55),(M54+($M$46-C54)*N55),0)</f>
        <v>0</v>
      </c>
      <c r="P55" s="229" t="n">
        <f>P54+(C55-C54)*Q55</f>
        <v>130.05</v>
      </c>
      <c r="Q55" s="235" t="n">
        <v>0.00006</v>
      </c>
      <c r="R55" s="229" t="n">
        <f>IF(AND($P$46&gt;A55,$P$46&lt;C55),(P54+($P$46-C54)*Q55),0)</f>
        <v>0</v>
      </c>
    </row>
    <row r="56" ht="14.002500000000003" customHeight="1">
      <c r="A56" s="229" t="n">
        <v>1000000</v>
      </c>
      <c r="B56" s="212" t="s">
        <v>209</v>
      </c>
      <c r="C56" s="229"/>
      <c r="D56" s="229"/>
      <c r="E56" s="235" t="n">
        <v>0.00004</v>
      </c>
      <c r="F56" s="229" t="n">
        <f>IF(AND($D$46&gt;A56),(D55+($D$46-A56)*E56),0)</f>
        <v>0</v>
      </c>
      <c r="G56" s="229"/>
      <c r="H56" s="235" t="n">
        <v>0.00004</v>
      </c>
      <c r="I56" s="229" t="n">
        <f>IF(AND(G46&gt;A56),(G55+(G46-A56)*H56),0)</f>
        <v>0</v>
      </c>
      <c r="J56" s="229"/>
      <c r="K56" s="235" t="n">
        <v>0.00004</v>
      </c>
      <c r="L56" s="229" t="n">
        <f>IF(AND(J46&gt;A56),(J55+(J46-A56)*K56),0)</f>
        <v>0</v>
      </c>
      <c r="M56" s="229"/>
      <c r="N56" s="235" t="n">
        <v>0.00004</v>
      </c>
      <c r="O56" s="229" t="n">
        <f>IF(AND(M46&gt;A56),(M55+(M46-A56)*N56),0)</f>
        <v>0</v>
      </c>
      <c r="P56" s="229"/>
      <c r="Q56" s="235" t="n">
        <v>0.00004</v>
      </c>
      <c r="R56" s="229" t="n">
        <f>IF(AND(P46&gt;A56),(P55+(P46-A56)*Q56),0)</f>
        <v>0</v>
      </c>
      <c r="S56" s="212" t="s">
        <v>210</v>
      </c>
    </row>
    <row r="57" ht="14.002500000000003" customHeight="1">
      <c r="A57" s="385" t="s">
        <v>211</v>
      </c>
      <c r="B57" s="385"/>
      <c r="C57" s="385"/>
      <c r="D57" s="400" t="n">
        <f>SUM(F47:F56)</f>
        <v>13.0331</v>
      </c>
      <c r="E57" s="400"/>
      <c r="F57" s="400"/>
      <c r="G57" s="400" t="n">
        <f>SUM(I47:I56)</f>
        <v>0</v>
      </c>
      <c r="H57" s="400"/>
      <c r="I57" s="400"/>
      <c r="J57" s="401" t="n">
        <f>SUM(L47:L56)</f>
        <v>1.769088352</v>
      </c>
      <c r="K57" s="402"/>
      <c r="L57" s="403"/>
      <c r="M57" s="401" t="n">
        <f>SUM(O47:O56)</f>
        <v>1.48946982</v>
      </c>
      <c r="N57" s="402"/>
      <c r="O57" s="403"/>
      <c r="P57" s="401" t="n">
        <f>SUM(R47:R56)</f>
        <v>15.04793</v>
      </c>
      <c r="Q57" s="402"/>
      <c r="R57" s="403"/>
      <c r="S57" s="223" t="n">
        <f>SUM(D57:Q57)</f>
        <v>31.339588172</v>
      </c>
    </row>
    <row r="58" ht="14.002500000000003" customHeight="1">
      <c r="A58" s="236"/>
      <c r="B58" s="237"/>
      <c r="C58" s="237"/>
      <c r="D58" s="238"/>
      <c r="E58" s="238"/>
      <c r="F58" s="238"/>
      <c r="G58" s="232"/>
      <c r="H58" s="232"/>
      <c r="I58" s="232"/>
      <c r="J58" s="232"/>
      <c r="K58" s="232"/>
      <c r="L58" s="232"/>
      <c r="M58" s="232"/>
      <c r="N58" s="232"/>
      <c r="O58" s="232"/>
      <c r="P58" s="232"/>
      <c r="Q58" s="232"/>
      <c r="R58" s="232"/>
      <c r="S58" s="232"/>
    </row>
    <row r="59" ht="14.002500000000003" customHeight="1">
      <c r="A59" s="236"/>
      <c r="B59" s="237"/>
      <c r="C59" s="237"/>
      <c r="D59" s="238"/>
      <c r="E59" s="238"/>
      <c r="F59" s="238"/>
      <c r="G59" s="232"/>
      <c r="H59" s="232"/>
      <c r="I59" s="232"/>
      <c r="J59" s="232"/>
      <c r="K59" s="232"/>
      <c r="L59" s="232"/>
      <c r="M59" s="232"/>
      <c r="N59" s="232"/>
      <c r="O59" s="232"/>
      <c r="P59" s="232"/>
      <c r="Q59" s="232"/>
      <c r="R59" s="232"/>
      <c r="S59" s="232"/>
    </row>
    <row r="61" ht="14.002500000000003" customHeight="1">
      <c r="A61" s="390" t="s">
        <v>212</v>
      </c>
      <c r="B61" s="391"/>
      <c r="C61" s="391"/>
      <c r="D61" s="391"/>
      <c r="E61" s="391"/>
      <c r="F61" s="391"/>
      <c r="G61" s="392"/>
    </row>
    <row r="62" ht="14.002500000000003" customHeight="1">
      <c r="A62" s="359" t="s">
        <v>5</v>
      </c>
      <c r="B62" s="362" t="s">
        <v>197</v>
      </c>
      <c r="C62" s="363"/>
      <c r="D62" s="364"/>
      <c r="E62" s="239" t="s">
        <v>198</v>
      </c>
      <c r="F62" s="388" t="s">
        <v>199</v>
      </c>
      <c r="G62" s="225" t="s">
        <v>213</v>
      </c>
    </row>
    <row r="63" ht="14.002500000000003" customHeight="1">
      <c r="A63" s="384"/>
      <c r="B63" s="375"/>
      <c r="C63" s="376"/>
      <c r="D63" s="377"/>
      <c r="E63" s="551" t="s">
        <v>214</v>
      </c>
      <c r="F63" s="389"/>
      <c r="G63" s="222" t="s">
        <v>215</v>
      </c>
    </row>
    <row r="64" ht="14.002500000000003" customHeight="1">
      <c r="A64" s="360"/>
      <c r="B64" s="365"/>
      <c r="C64" s="366"/>
      <c r="D64" s="367"/>
      <c r="E64" s="378"/>
      <c r="F64" s="240" t="n">
        <f>E3</f>
        <v>5000</v>
      </c>
      <c r="G64" s="227" t="n">
        <f>SUM(G65:G70)</f>
        <v>5.11764705882353</v>
      </c>
      <c r="J64" s="247"/>
    </row>
    <row r="65" ht="14.002500000000003" customHeight="1">
      <c r="A65" s="212" t="n">
        <v>1</v>
      </c>
      <c r="B65" s="212"/>
      <c r="C65" s="212" t="s">
        <v>201</v>
      </c>
      <c r="D65" s="212" t="n">
        <v>3000</v>
      </c>
      <c r="E65" s="248" t="n">
        <v>5</v>
      </c>
      <c r="F65" s="228" t="n">
        <f>IF(F64&lt;=D65,1,0)</f>
        <v>0</v>
      </c>
      <c r="G65" s="223" t="n">
        <f>IF(F65=1,(E65/D65*F64),0)</f>
        <v>0</v>
      </c>
    </row>
    <row r="66" ht="14.002500000000003" customHeight="1">
      <c r="A66" s="212" t="n">
        <v>2</v>
      </c>
      <c r="B66" s="212" t="n">
        <v>3000</v>
      </c>
      <c r="C66" s="212" t="s">
        <v>202</v>
      </c>
      <c r="D66" s="212" t="n">
        <v>20000</v>
      </c>
      <c r="E66" s="248" t="n">
        <v>6</v>
      </c>
      <c r="F66" s="228" t="n">
        <f>IF(AND($F$64&lt;=D66,$F$64&gt;B66),1,0)</f>
        <v>1</v>
      </c>
      <c r="G66" s="223" t="n">
        <f>IF(F66=1,(E65+((E66-E65)/(D66-B66)*($F$64-B66))),0)</f>
        <v>5.11764705882353</v>
      </c>
    </row>
    <row r="67" ht="14.002500000000003" customHeight="1">
      <c r="A67" s="212" t="n">
        <v>3</v>
      </c>
      <c r="B67" s="212" t="n">
        <v>20000</v>
      </c>
      <c r="C67" s="212" t="s">
        <v>202</v>
      </c>
      <c r="D67" s="212" t="n">
        <v>100000</v>
      </c>
      <c r="E67" s="248" t="n">
        <v>15</v>
      </c>
      <c r="F67" s="228" t="n">
        <f>IF(AND($F$64&lt;=D67,$F$64&gt;B67),1,0)</f>
        <v>0</v>
      </c>
      <c r="G67" s="223" t="n">
        <f>IF(F67=1,(E66+((E67-E66)/(D67-B67)*($F$64-B67))),0)</f>
        <v>0</v>
      </c>
    </row>
    <row r="68" ht="14.002500000000003" customHeight="1">
      <c r="A68" s="212" t="n">
        <v>4</v>
      </c>
      <c r="B68" s="212" t="n">
        <v>100000</v>
      </c>
      <c r="C68" s="212" t="s">
        <v>202</v>
      </c>
      <c r="D68" s="212" t="n">
        <v>500000</v>
      </c>
      <c r="E68" s="248" t="n">
        <v>35</v>
      </c>
      <c r="F68" s="228" t="n">
        <f>IF(AND($F$64&lt;=D68,$F$64&gt;B68),1,0)</f>
        <v>0</v>
      </c>
      <c r="G68" s="223" t="n">
        <f>IF(F68=1,(E67+((E68-E67)/(D68-B68)*($F$64-B68))),0)</f>
        <v>0</v>
      </c>
      <c r="N68" s="247"/>
    </row>
    <row r="69" ht="14.002500000000003" customHeight="1">
      <c r="A69" s="212" t="n">
        <v>5</v>
      </c>
      <c r="B69" s="212" t="n">
        <v>500000</v>
      </c>
      <c r="C69" s="212" t="s">
        <v>202</v>
      </c>
      <c r="D69" s="212" t="n">
        <v>1000000</v>
      </c>
      <c r="E69" s="248" t="n">
        <v>75</v>
      </c>
      <c r="F69" s="228" t="n">
        <f>IF(AND($F$64&lt;=D69,$F$64&gt;B69),1,0)</f>
        <v>0</v>
      </c>
      <c r="G69" s="223" t="n">
        <f>IF(F69=1,(E68+((E69-E68)/(D69-B69)*($F$64-B69))),0)</f>
        <v>0</v>
      </c>
    </row>
    <row r="70" ht="14.002500000000003" customHeight="1">
      <c r="A70" s="212" t="n">
        <v>6</v>
      </c>
      <c r="B70" s="212" t="n">
        <v>1000000</v>
      </c>
      <c r="C70" s="212" t="s">
        <v>202</v>
      </c>
      <c r="D70" s="212" t="n">
        <v>500000</v>
      </c>
      <c r="E70" s="248" t="n">
        <v>110</v>
      </c>
      <c r="F70" s="228" t="n">
        <f>IF(AND($F$64&lt;=D70,$F$64&gt;B70),1,0)</f>
        <v>0</v>
      </c>
      <c r="G70" s="223" t="n">
        <f>IF(F70=1,(E69+((E70-E69)/(D70-B70)*($F$64-B70))),0)</f>
        <v>0</v>
      </c>
    </row>
    <row r="71" ht="14.002500000000003" customHeight="1">
      <c r="A71" s="209"/>
      <c r="B71" s="209"/>
      <c r="C71" s="209"/>
      <c r="D71" s="209"/>
      <c r="E71" s="230"/>
      <c r="F71" s="231"/>
      <c r="G71" s="232"/>
    </row>
    <row r="72" ht="14.002500000000003" customHeight="1">
      <c r="A72" s="209"/>
      <c r="B72" s="209"/>
      <c r="C72" s="209"/>
      <c r="D72" s="232"/>
      <c r="E72" s="232"/>
      <c r="F72" s="232"/>
      <c r="G72" s="232"/>
      <c r="H72" s="232"/>
      <c r="I72" s="232"/>
      <c r="J72" s="232"/>
      <c r="K72" s="232"/>
      <c r="L72" s="232"/>
      <c r="M72" s="232"/>
      <c r="N72" s="232"/>
      <c r="O72" s="232"/>
      <c r="P72" s="232"/>
      <c r="Q72" s="232"/>
      <c r="R72" s="232"/>
      <c r="S72" s="232"/>
    </row>
    <row r="73" ht="14.002500000000003" customHeight="1">
      <c r="A73" s="396" t="s">
        <f>'工程建设其他费细则说明'!B31</f>
        <v>162</v>
      </c>
      <c r="B73" s="396"/>
      <c r="C73" s="396"/>
      <c r="D73" s="396"/>
      <c r="E73" s="396"/>
      <c r="F73" s="396"/>
      <c r="G73" s="396"/>
      <c r="H73" s="396"/>
      <c r="I73" s="396"/>
      <c r="J73" s="232"/>
      <c r="K73" s="232"/>
      <c r="L73" s="232"/>
      <c r="M73" s="232"/>
      <c r="N73" s="232"/>
      <c r="O73" s="232"/>
      <c r="P73" s="232"/>
      <c r="Q73" s="232"/>
      <c r="R73" s="232"/>
      <c r="S73" s="232"/>
    </row>
    <row r="74" ht="16.5" customHeight="1">
      <c r="A74" s="368" t="s">
        <v>5</v>
      </c>
      <c r="B74" s="368" t="s">
        <v>216</v>
      </c>
      <c r="C74" s="368"/>
      <c r="D74" s="368"/>
      <c r="E74" s="368" t="s">
        <v>217</v>
      </c>
      <c r="F74" s="222" t="s">
        <v>199</v>
      </c>
      <c r="G74" s="225" t="s">
        <v>218</v>
      </c>
      <c r="H74" s="225" t="s">
        <v>219</v>
      </c>
      <c r="I74" s="222" t="s">
        <v>195</v>
      </c>
    </row>
    <row r="75" ht="14.002500000000003" customHeight="1">
      <c r="A75" s="368"/>
      <c r="B75" s="368"/>
      <c r="C75" s="368"/>
      <c r="D75" s="368"/>
      <c r="E75" s="368"/>
      <c r="F75" s="249" t="n">
        <f>E3</f>
        <v>5000</v>
      </c>
      <c r="G75" s="250" t="n">
        <f>SUM(G76:G81)</f>
        <v>3.85714285714286</v>
      </c>
      <c r="H75" s="222" t="n">
        <v>1.2</v>
      </c>
      <c r="I75" s="250" t="n">
        <f>SUM(I76:I81)</f>
        <v>4.62857142857143</v>
      </c>
    </row>
    <row r="76" ht="14.002500000000003" customHeight="1">
      <c r="A76" s="212" t="n">
        <v>1</v>
      </c>
      <c r="B76" s="212"/>
      <c r="C76" s="212" t="s">
        <v>209</v>
      </c>
      <c r="D76" s="212" t="n">
        <v>3000</v>
      </c>
      <c r="E76" s="212" t="n">
        <v>3</v>
      </c>
      <c r="F76" s="228" t="n">
        <f>IF(AND(F75&lt;=D76,F75&gt;0),1,0)</f>
        <v>0</v>
      </c>
      <c r="G76" s="229" t="n">
        <f>IF(F76=1,E76/D76*F75,0)</f>
        <v>0</v>
      </c>
      <c r="H76" s="212" t="n">
        <v>1.2</v>
      </c>
      <c r="I76" s="229" t="n">
        <f>IF(F76=1,MAX(G76*H76,E76),0)</f>
        <v>0</v>
      </c>
    </row>
    <row r="77" ht="14.002500000000003" customHeight="1">
      <c r="A77" s="212" t="n">
        <v>2</v>
      </c>
      <c r="B77" s="212" t="n">
        <v>3000</v>
      </c>
      <c r="C77" s="212" t="s">
        <v>202</v>
      </c>
      <c r="D77" s="212" t="n">
        <v>10000</v>
      </c>
      <c r="E77" s="212" t="n">
        <v>6</v>
      </c>
      <c r="F77" s="228" t="n">
        <f>IF(AND($F$75&gt;B77,$F$75&lt;=D77),1,0)</f>
        <v>1</v>
      </c>
      <c r="G77" s="229" t="n">
        <f>IF(F77=1,(E76+(E77-E76)/(D77-B77)*($F$75-B77)),0)</f>
        <v>3.85714285714286</v>
      </c>
      <c r="H77" s="212" t="n">
        <v>1.2</v>
      </c>
      <c r="I77" s="229" t="n">
        <f>G77*H77</f>
        <v>4.62857142857143</v>
      </c>
    </row>
    <row r="78" ht="14.002500000000003" customHeight="1">
      <c r="A78" s="212" t="n">
        <v>3</v>
      </c>
      <c r="B78" s="212" t="n">
        <v>10000</v>
      </c>
      <c r="C78" s="212" t="s">
        <v>202</v>
      </c>
      <c r="D78" s="212" t="n">
        <v>50000</v>
      </c>
      <c r="E78" s="212" t="n">
        <v>9</v>
      </c>
      <c r="F78" s="228" t="n">
        <f>IF(AND($F$75&gt;B78,$F$75&lt;=D78),1,0)</f>
        <v>0</v>
      </c>
      <c r="G78" s="229" t="n">
        <f>IF(F78=1,(E77+(E78-E77)/(D78-B78)*($F$75-B78)),0)</f>
        <v>0</v>
      </c>
      <c r="H78" s="212" t="n">
        <v>1.2</v>
      </c>
      <c r="I78" s="229" t="n">
        <f>G78*H78</f>
        <v>0</v>
      </c>
    </row>
    <row r="79" ht="14.002500000000003" customHeight="1">
      <c r="A79" s="212" t="n">
        <v>4</v>
      </c>
      <c r="B79" s="212" t="n">
        <v>50000</v>
      </c>
      <c r="C79" s="212" t="s">
        <v>202</v>
      </c>
      <c r="D79" s="212" t="n">
        <v>100000</v>
      </c>
      <c r="E79" s="212" t="n">
        <v>12</v>
      </c>
      <c r="F79" s="228" t="n">
        <f>IF(AND($F$75&gt;B79,$F$75&lt;=D79),1,0)</f>
        <v>0</v>
      </c>
      <c r="G79" s="229" t="n">
        <f>IF(F79=1,(E78+(E79-E78)/(D79-B79)*($F$75-B79)),0)</f>
        <v>0</v>
      </c>
      <c r="H79" s="212" t="n">
        <v>1.2</v>
      </c>
      <c r="I79" s="229" t="n">
        <f>G79*H79</f>
        <v>0</v>
      </c>
    </row>
    <row r="80" ht="14.002500000000003" customHeight="1">
      <c r="A80" s="212" t="n">
        <v>5</v>
      </c>
      <c r="B80" s="212" t="n">
        <v>100000</v>
      </c>
      <c r="C80" s="212" t="s">
        <v>202</v>
      </c>
      <c r="D80" s="212" t="n">
        <v>500000</v>
      </c>
      <c r="E80" s="212" t="n">
        <v>15</v>
      </c>
      <c r="F80" s="228" t="n">
        <f>IF(AND($F$75&gt;B80,$F$75&lt;=D80),1,0)</f>
        <v>0</v>
      </c>
      <c r="G80" s="229" t="n">
        <f>IF(F80=1,(E79+(E80-E79)/(D80-B80)*($F$75-B80)),0)</f>
        <v>0</v>
      </c>
      <c r="H80" s="212" t="n">
        <v>1.2</v>
      </c>
      <c r="I80" s="229" t="n">
        <f>G80*H80</f>
        <v>0</v>
      </c>
    </row>
    <row r="81" ht="14.002500000000003" customHeight="1">
      <c r="A81" s="212" t="n">
        <v>6</v>
      </c>
      <c r="B81" s="212" t="n">
        <v>500000</v>
      </c>
      <c r="C81" s="212" t="s">
        <v>209</v>
      </c>
      <c r="D81" s="212"/>
      <c r="E81" s="212" t="n">
        <v>20</v>
      </c>
      <c r="F81" s="228" t="n">
        <f>IF(F75&gt;B81,1,0)</f>
        <v>0</v>
      </c>
      <c r="G81" s="229" t="n">
        <f>IF(F81=1,E81/B81*F75,0)</f>
        <v>0</v>
      </c>
      <c r="H81" s="212" t="n">
        <v>1.2</v>
      </c>
      <c r="I81" s="229" t="n">
        <f>IF(F81=1,MIN(G81*H81,E81),0)</f>
        <v>0</v>
      </c>
    </row>
    <row r="82" ht="29.400000000000002" customHeight="1">
      <c r="A82" s="397" t="s">
        <v>220</v>
      </c>
      <c r="B82" s="397"/>
      <c r="C82" s="397"/>
      <c r="D82" s="397"/>
      <c r="E82" s="397"/>
      <c r="F82" s="397"/>
      <c r="G82" s="397"/>
      <c r="H82" s="397"/>
      <c r="I82" s="397"/>
    </row>
    <row r="83" ht="14.002500000000003" customHeight="1">
      <c r="A83" s="209"/>
      <c r="B83" s="209"/>
      <c r="C83" s="209"/>
      <c r="D83" s="209"/>
      <c r="E83" s="209"/>
      <c r="F83" s="231"/>
      <c r="G83" s="208"/>
      <c r="H83" s="208"/>
    </row>
    <row r="84" ht="14.002500000000003" customHeight="1">
      <c r="A84" s="209"/>
      <c r="B84" s="209"/>
      <c r="C84" s="209"/>
      <c r="D84" s="232"/>
      <c r="E84" s="232"/>
      <c r="F84" s="232"/>
      <c r="G84" s="232"/>
      <c r="H84" s="232"/>
      <c r="I84" s="232"/>
      <c r="J84" s="232"/>
      <c r="K84" s="232"/>
      <c r="L84" s="232"/>
      <c r="M84" s="232"/>
      <c r="N84" s="232"/>
      <c r="O84" s="232"/>
      <c r="P84" s="232"/>
      <c r="Q84" s="232"/>
      <c r="R84" s="232"/>
      <c r="S84" s="232"/>
    </row>
    <row r="85" ht="14.002500000000003" customHeight="1">
      <c r="A85" s="396" t="s">
        <v>221</v>
      </c>
      <c r="B85" s="396"/>
      <c r="C85" s="396"/>
      <c r="D85" s="396"/>
      <c r="E85" s="396"/>
      <c r="F85" s="396"/>
      <c r="G85" s="396"/>
    </row>
    <row r="86" ht="16.5" customHeight="1">
      <c r="A86" s="385" t="s">
        <v>5</v>
      </c>
      <c r="B86" s="552" t="s">
        <v>222</v>
      </c>
      <c r="C86" s="370"/>
      <c r="D86" s="371"/>
      <c r="E86" s="553" t="s">
        <v>223</v>
      </c>
      <c r="F86" s="222" t="s">
        <v>199</v>
      </c>
      <c r="G86" s="251" t="s">
        <v>200</v>
      </c>
      <c r="H86" s="208"/>
    </row>
    <row r="87" ht="14.002500000000003" customHeight="1">
      <c r="A87" s="385"/>
      <c r="B87" s="372"/>
      <c r="C87" s="373"/>
      <c r="D87" s="374"/>
      <c r="E87" s="387"/>
      <c r="F87" s="252" t="n">
        <f>E3</f>
        <v>5000</v>
      </c>
      <c r="G87" s="212" t="n">
        <f>SUM(G88:G96)</f>
        <v>7</v>
      </c>
      <c r="H87" s="208"/>
    </row>
    <row r="88" ht="14.002500000000003" customHeight="1">
      <c r="A88" s="212" t="n">
        <v>1</v>
      </c>
      <c r="B88" s="212"/>
      <c r="C88" s="212" t="s">
        <v>209</v>
      </c>
      <c r="D88" s="212" t="n">
        <f>10000*0.05</f>
        <v>500</v>
      </c>
      <c r="E88" s="212" t="n">
        <v>2</v>
      </c>
      <c r="F88" s="228" t="n">
        <f>IF(F87&lt;=D88,1,0)</f>
        <v>0</v>
      </c>
      <c r="G88" s="212" t="n">
        <f>IF(F88=1,E88/D88*F87,0)</f>
        <v>0</v>
      </c>
      <c r="I88" s="209"/>
      <c r="J88" s="209"/>
      <c r="K88" s="209"/>
      <c r="L88" s="209"/>
    </row>
    <row r="89" ht="14.002500000000003" customHeight="1">
      <c r="A89" s="212" t="n">
        <v>2</v>
      </c>
      <c r="B89" s="212" t="n">
        <f>10000*0.05</f>
        <v>500</v>
      </c>
      <c r="C89" s="212" t="s">
        <v>202</v>
      </c>
      <c r="D89" s="212" t="n">
        <f>10000*0.1</f>
        <v>1000</v>
      </c>
      <c r="E89" s="212" t="n">
        <v>3.5</v>
      </c>
      <c r="F89" s="253" t="n">
        <f>IF(AND($F$87&gt;B89,$F$87&lt;=D89),1,0)</f>
        <v>0</v>
      </c>
      <c r="G89" s="212" t="n">
        <f>IF(F89=1,(E88+(E89-E88)/(D89-B89)*($F$87-B89)),0)</f>
        <v>0</v>
      </c>
    </row>
    <row r="90" ht="14.002500000000003" customHeight="1">
      <c r="A90" s="212" t="n">
        <v>3</v>
      </c>
      <c r="B90" s="212" t="n">
        <f>10000*0.1</f>
        <v>1000</v>
      </c>
      <c r="C90" s="212" t="s">
        <v>202</v>
      </c>
      <c r="D90" s="212" t="n">
        <f>10000*0.2</f>
        <v>2000</v>
      </c>
      <c r="E90" s="212" t="n">
        <v>5</v>
      </c>
      <c r="F90" s="253" t="n">
        <f>IF(AND($F$87&gt;B90,$F$87&lt;=D90),1,0)</f>
        <v>0</v>
      </c>
      <c r="G90" s="212" t="n">
        <f>IF(F90=1,(E89+(E90-E89)/(D90-B90)*($F$87-B90)),0)</f>
        <v>0</v>
      </c>
    </row>
    <row r="91" ht="14.002500000000003" customHeight="1">
      <c r="A91" s="212" t="n">
        <v>4</v>
      </c>
      <c r="B91" s="212" t="n">
        <f>10000*0.2</f>
        <v>2000</v>
      </c>
      <c r="C91" s="254" t="s">
        <v>202</v>
      </c>
      <c r="D91" s="212" t="n">
        <f>10000*0.5</f>
        <v>5000</v>
      </c>
      <c r="E91" s="212" t="n">
        <v>7</v>
      </c>
      <c r="F91" s="253" t="n">
        <f>IF(AND($F$87&gt;B91,$F$87&lt;=D91),1,0)</f>
        <v>1</v>
      </c>
      <c r="G91" s="212" t="n">
        <f>IF(F91=1,(E90+(E91-E90)/(D91-B91)*($F$87-B91)),0)</f>
        <v>7</v>
      </c>
    </row>
    <row r="92" ht="14.002500000000003" customHeight="1">
      <c r="A92" s="212" t="n">
        <v>5</v>
      </c>
      <c r="B92" s="212" t="n">
        <f>10000*0.5</f>
        <v>5000</v>
      </c>
      <c r="C92" s="212" t="s">
        <v>202</v>
      </c>
      <c r="D92" s="212" t="n">
        <v>10000</v>
      </c>
      <c r="E92" s="212" t="n">
        <f>0.5*1.5*10000/1000</f>
        <v>7.5</v>
      </c>
      <c r="F92" s="253" t="n">
        <f>IF(AND($F$87&gt;B92,$F$87&lt;=D92),1,0)</f>
        <v>0</v>
      </c>
      <c r="G92" s="212" t="n">
        <f>IF(F92=1,(E91+(E92-E91)/(D92-B92)*($F$87-B92)),0)</f>
        <v>0</v>
      </c>
    </row>
    <row r="93" ht="14.002500000000003" customHeight="1">
      <c r="A93" s="212" t="n">
        <v>6</v>
      </c>
      <c r="B93" s="212" t="n">
        <v>10000</v>
      </c>
      <c r="C93" s="212" t="s">
        <v>202</v>
      </c>
      <c r="D93" s="212" t="n">
        <v>20000</v>
      </c>
      <c r="E93" s="212" t="n">
        <f>1*10000*1/1000</f>
        <v>10</v>
      </c>
      <c r="F93" s="253" t="n">
        <f>IF(AND($F$87&gt;B93,$F$87&lt;=D93),1,0)</f>
        <v>0</v>
      </c>
      <c r="G93" s="212" t="n">
        <f>IF(F93=1,(E92+(E93-E92)/(D93-B93)*($F$87-B93)),0)</f>
        <v>0</v>
      </c>
    </row>
    <row r="94" ht="14.002500000000003" customHeight="1">
      <c r="A94" s="212" t="n">
        <v>7</v>
      </c>
      <c r="B94" s="212" t="n">
        <v>20000</v>
      </c>
      <c r="C94" s="212" t="s">
        <v>202</v>
      </c>
      <c r="D94" s="212" t="n">
        <v>50000</v>
      </c>
      <c r="E94" s="212" t="n">
        <f>2*0.7*10000/1000</f>
        <v>14</v>
      </c>
      <c r="F94" s="253" t="n">
        <f>IF(AND($F$87&gt;B94,$F$87&lt;=D94),1,0)</f>
        <v>0</v>
      </c>
      <c r="G94" s="212" t="n">
        <f>IF(F94=1,(E93+(E94-E93)/(D94-B94)*($F$87-B94)),0)</f>
        <v>0</v>
      </c>
    </row>
    <row r="95" ht="14.002500000000003" customHeight="1">
      <c r="A95" s="212" t="n">
        <v>8</v>
      </c>
      <c r="B95" s="212" t="n">
        <v>50000</v>
      </c>
      <c r="C95" s="212" t="s">
        <v>202</v>
      </c>
      <c r="D95" s="212" t="n">
        <v>100000</v>
      </c>
      <c r="E95" s="212" t="n">
        <f>5*0.4*10000/1000</f>
        <v>20</v>
      </c>
      <c r="F95" s="253" t="n">
        <f>IF(AND($F$87&gt;B95,$F$87&lt;=D95),1,0)</f>
        <v>0</v>
      </c>
      <c r="G95" s="212" t="n">
        <f>IF(F95=1,(E94+(E95-E94)/(D95-B95)*($F$87-B95)),0)</f>
        <v>0</v>
      </c>
    </row>
    <row r="96" ht="14.002500000000003" customHeight="1">
      <c r="A96" s="212" t="n">
        <v>9</v>
      </c>
      <c r="B96" s="212" t="n">
        <v>100000</v>
      </c>
      <c r="C96" s="212"/>
      <c r="D96" s="212"/>
      <c r="E96" s="212" t="n">
        <f>10*0.3*10000/1000</f>
        <v>30</v>
      </c>
      <c r="F96" s="253" t="n">
        <f>IF(F87&gt;B96,1,0)</f>
        <v>0</v>
      </c>
      <c r="G96" s="212" t="n">
        <f>IF(F96=1,E96/B96*F87,0)</f>
        <v>0</v>
      </c>
    </row>
    <row r="97" ht="14.002500000000003" customHeight="1">
      <c r="A97" s="209"/>
      <c r="B97" s="209"/>
      <c r="C97" s="209"/>
      <c r="D97" s="209"/>
      <c r="E97" s="209"/>
      <c r="F97" s="247"/>
    </row>
    <row r="98" ht="14.002500000000003" customHeight="1">
      <c r="A98" s="209"/>
      <c r="B98" s="209"/>
      <c r="C98" s="209"/>
      <c r="D98" s="209"/>
      <c r="E98" s="209"/>
      <c r="F98" s="247"/>
    </row>
    <row r="99" ht="14.002500000000003" customHeight="1">
      <c r="A99" s="390" t="s">
        <v>166</v>
      </c>
      <c r="B99" s="391"/>
      <c r="C99" s="391"/>
      <c r="D99" s="391"/>
      <c r="E99" s="391"/>
      <c r="F99" s="391"/>
      <c r="G99" s="391"/>
      <c r="H99" s="391"/>
      <c r="I99" s="391"/>
      <c r="J99" s="392"/>
    </row>
    <row r="100" ht="27.649999999999995" customHeight="1">
      <c r="A100" s="368" t="s">
        <v>5</v>
      </c>
      <c r="B100" s="554" t="s">
        <v>224</v>
      </c>
      <c r="C100" s="378"/>
      <c r="D100" s="378"/>
      <c r="E100" s="555" t="s">
        <v>225</v>
      </c>
      <c r="F100" s="556" t="s">
        <v>226</v>
      </c>
      <c r="G100" s="225" t="s">
        <v>227</v>
      </c>
      <c r="H100" s="225" t="s">
        <v>228</v>
      </c>
      <c r="I100" s="225" t="s">
        <v>229</v>
      </c>
      <c r="J100" s="225" t="s">
        <v>230</v>
      </c>
    </row>
    <row r="101" ht="14.002500000000003" customHeight="1">
      <c r="A101" s="368"/>
      <c r="B101" s="378"/>
      <c r="C101" s="378"/>
      <c r="D101" s="378"/>
      <c r="E101" s="378"/>
      <c r="F101" s="378"/>
      <c r="G101" s="255" t="n">
        <f>G3</f>
        <v>0.72</v>
      </c>
      <c r="H101" s="229" t="n">
        <f>SUM(H102:H106)</f>
        <v>10</v>
      </c>
      <c r="I101" s="262" t="n">
        <v>1</v>
      </c>
      <c r="J101" s="229" t="n">
        <f>SUM(J102:J106)</f>
        <v>10</v>
      </c>
    </row>
    <row r="102" ht="14.002500000000003" customHeight="1">
      <c r="A102" s="212" t="n">
        <v>1</v>
      </c>
      <c r="B102" s="212"/>
      <c r="C102" s="212" t="s">
        <v>209</v>
      </c>
      <c r="D102" s="256" t="n">
        <v>5</v>
      </c>
      <c r="E102" s="256" t="n">
        <v>2</v>
      </c>
      <c r="F102" s="257" t="n">
        <v>10</v>
      </c>
      <c r="G102" s="229" t="n">
        <f>IF(AND(G101&lt;=D102,G101&gt;0),1,0)</f>
        <v>1</v>
      </c>
      <c r="H102" s="229" t="n">
        <f>IF(G102=1,F102,0)</f>
        <v>10</v>
      </c>
      <c r="I102" s="262" t="n">
        <f>I$101</f>
        <v>1</v>
      </c>
      <c r="J102" s="229" t="n">
        <f>H102*I102</f>
        <v>10</v>
      </c>
    </row>
    <row r="103" ht="14.002500000000003" customHeight="1">
      <c r="A103" s="212" t="n">
        <v>2</v>
      </c>
      <c r="B103" s="256" t="n">
        <v>5</v>
      </c>
      <c r="C103" s="212" t="s">
        <v>202</v>
      </c>
      <c r="D103" s="256" t="n">
        <v>20</v>
      </c>
      <c r="E103" s="256" t="n">
        <v>2</v>
      </c>
      <c r="F103" s="257" t="n">
        <v>10</v>
      </c>
      <c r="G103" s="229" t="n">
        <f>IF(AND($G$2&lt;=D103,$G$2&gt;B103),1,0)</f>
        <v>0</v>
      </c>
      <c r="H103" s="229" t="n">
        <f>IF(G103=1,(F103+(G$2-B103)*E103),0)</f>
        <v>0</v>
      </c>
      <c r="I103" s="262" t="n">
        <f>I$101</f>
        <v>1</v>
      </c>
      <c r="J103" s="229" t="n">
        <f>H103*I103</f>
        <v>0</v>
      </c>
    </row>
    <row r="104" ht="14.002500000000003" customHeight="1">
      <c r="A104" s="212" t="n">
        <v>3</v>
      </c>
      <c r="B104" s="256" t="n">
        <v>20</v>
      </c>
      <c r="C104" s="212" t="s">
        <v>202</v>
      </c>
      <c r="D104" s="256" t="n">
        <v>100</v>
      </c>
      <c r="E104" s="256" t="n">
        <v>1.5</v>
      </c>
      <c r="F104" s="257" t="n">
        <v>40</v>
      </c>
      <c r="G104" s="229" t="n">
        <f>IF(AND($G$2&lt;=D104,$G$2&gt;B104),1,0)</f>
        <v>0</v>
      </c>
      <c r="H104" s="229" t="n">
        <f>IF(G104=1,(F104+(G$2-B104)*E104),0)</f>
        <v>0</v>
      </c>
      <c r="I104" s="262" t="n">
        <f>I$101</f>
        <v>1</v>
      </c>
      <c r="J104" s="229" t="n">
        <f>H104*I104</f>
        <v>0</v>
      </c>
    </row>
    <row r="105" ht="14.002500000000003" customHeight="1">
      <c r="A105" s="212" t="n">
        <v>4</v>
      </c>
      <c r="B105" s="256" t="n">
        <v>100</v>
      </c>
      <c r="C105" s="212" t="s">
        <v>202</v>
      </c>
      <c r="D105" s="256" t="n">
        <v>200</v>
      </c>
      <c r="E105" s="256" t="n">
        <v>1</v>
      </c>
      <c r="F105" s="257" t="n">
        <v>160</v>
      </c>
      <c r="G105" s="229" t="n">
        <f>IF(AND($G$2&lt;=D105,$G$2&gt;B105),1,0)</f>
        <v>0</v>
      </c>
      <c r="H105" s="229" t="n">
        <f>IF(G105=1,(F105+(G$2-B105)*E105),0)</f>
        <v>0</v>
      </c>
      <c r="I105" s="262" t="n">
        <f>I$101</f>
        <v>1</v>
      </c>
      <c r="J105" s="229" t="n">
        <f>H105*I105</f>
        <v>0</v>
      </c>
    </row>
    <row r="106" ht="14.002500000000003" customHeight="1">
      <c r="A106" s="212" t="n">
        <v>5</v>
      </c>
      <c r="B106" s="256" t="n">
        <v>200</v>
      </c>
      <c r="C106" s="212" t="s">
        <v>209</v>
      </c>
      <c r="D106" s="212"/>
      <c r="E106" s="256" t="n">
        <v>0.8</v>
      </c>
      <c r="F106" s="257" t="n">
        <v>260</v>
      </c>
      <c r="G106" s="229" t="n">
        <f>IF(G101&gt;B106,1,0)</f>
        <v>0</v>
      </c>
      <c r="H106" s="229" t="n">
        <f>IF(G106=1,MAX(F106,E106*$G$2),0)</f>
        <v>0</v>
      </c>
      <c r="I106" s="262" t="n">
        <f>I$101</f>
        <v>1</v>
      </c>
      <c r="J106" s="229" t="n">
        <f>H106*I106</f>
        <v>0</v>
      </c>
    </row>
    <row r="107" ht="14.002500000000003" customHeight="1">
      <c r="A107" s="397" t="s">
        <v>231</v>
      </c>
      <c r="B107" s="383"/>
      <c r="C107" s="383"/>
      <c r="D107" s="383"/>
      <c r="E107" s="383"/>
      <c r="F107" s="383"/>
      <c r="G107" s="383"/>
      <c r="H107" s="383"/>
      <c r="I107" s="383"/>
      <c r="J107" s="383"/>
    </row>
    <row r="108" ht="14.002500000000003" customHeight="1">
      <c r="A108" s="209"/>
      <c r="B108" s="209"/>
      <c r="C108" s="209"/>
      <c r="D108" s="232"/>
      <c r="E108" s="232"/>
      <c r="F108" s="232"/>
      <c r="G108" s="232"/>
      <c r="H108" s="232"/>
      <c r="I108" s="232"/>
      <c r="J108" s="232"/>
      <c r="K108" s="232"/>
      <c r="L108" s="232"/>
      <c r="M108" s="232"/>
      <c r="N108" s="232"/>
      <c r="O108" s="232"/>
      <c r="P108" s="232"/>
      <c r="Q108" s="232"/>
      <c r="R108" s="232"/>
      <c r="S108" s="232"/>
    </row>
    <row r="110" ht="14.002500000000003" customHeight="1">
      <c r="A110" s="396" t="s">
        <v>137</v>
      </c>
      <c r="B110" s="396"/>
      <c r="C110" s="396"/>
      <c r="D110" s="396"/>
      <c r="E110" s="396"/>
      <c r="F110" s="396"/>
      <c r="G110" s="396"/>
      <c r="H110" s="396"/>
    </row>
    <row r="111" ht="16.5" customHeight="1">
      <c r="A111" s="368" t="s">
        <v>232</v>
      </c>
      <c r="B111" s="368"/>
      <c r="C111" s="368"/>
      <c r="D111" s="368"/>
      <c r="E111" s="368"/>
      <c r="F111" s="368"/>
      <c r="G111" s="225" t="s">
        <v>233</v>
      </c>
      <c r="H111" s="225" t="s">
        <v>234</v>
      </c>
    </row>
    <row r="112" ht="14.002500000000003" customHeight="1">
      <c r="A112" s="222" t="s">
        <v>5</v>
      </c>
      <c r="B112" s="368" t="s">
        <v>197</v>
      </c>
      <c r="C112" s="368"/>
      <c r="D112" s="368"/>
      <c r="E112" s="222" t="s">
        <v>235</v>
      </c>
      <c r="F112" s="222" t="s">
        <v>236</v>
      </c>
      <c r="G112" s="258" t="n">
        <f>C2</f>
        <v>3992.88</v>
      </c>
      <c r="H112" s="227" t="n">
        <f>SUM(H113:H118)</f>
        <v>64.8932</v>
      </c>
    </row>
    <row r="113" ht="14.002500000000003" customHeight="1">
      <c r="A113" s="212" t="n">
        <v>1</v>
      </c>
      <c r="B113" s="212"/>
      <c r="C113" s="212" t="s">
        <v>201</v>
      </c>
      <c r="D113" s="212" t="n">
        <v>1000</v>
      </c>
      <c r="E113" s="259" t="n">
        <v>0.02</v>
      </c>
      <c r="F113" s="212" t="n">
        <f>E113*D113</f>
        <v>20</v>
      </c>
      <c r="G113" s="260" t="n">
        <f>IF(G112&lt;=D113,1,0)</f>
        <v>0</v>
      </c>
      <c r="H113" s="223" t="n">
        <f>IF(G113=1,(G112*E113),0)</f>
        <v>0</v>
      </c>
    </row>
    <row r="114" ht="14.002500000000003" customHeight="1">
      <c r="A114" s="212" t="n">
        <v>2</v>
      </c>
      <c r="B114" s="212" t="n">
        <v>1001</v>
      </c>
      <c r="C114" s="212" t="s">
        <v>202</v>
      </c>
      <c r="D114" s="212" t="n">
        <v>5000</v>
      </c>
      <c r="E114" s="261" t="n">
        <v>0.015</v>
      </c>
      <c r="F114" s="212" t="n">
        <f>F113+(D114-D113)*E114</f>
        <v>80</v>
      </c>
      <c r="G114" s="228" t="n">
        <f>IF(AND($G$112&lt;=D114,$G$112&gt;B114),1,0)</f>
        <v>1</v>
      </c>
      <c r="H114" s="223" t="n">
        <f>IF(G114=1,(F113+($G$112-D113)*E114),0)</f>
        <v>64.8932</v>
      </c>
    </row>
    <row r="115" ht="14.002500000000003" customHeight="1">
      <c r="A115" s="212" t="n">
        <v>3</v>
      </c>
      <c r="B115" s="212" t="n">
        <v>5001</v>
      </c>
      <c r="C115" s="212" t="s">
        <v>202</v>
      </c>
      <c r="D115" s="212" t="n">
        <v>10000</v>
      </c>
      <c r="E115" s="261" t="n">
        <v>0.012</v>
      </c>
      <c r="F115" s="212" t="n">
        <f>F114+(D115-D114)*E115</f>
        <v>140</v>
      </c>
      <c r="G115" s="228" t="n">
        <f>IF(AND($G$112&lt;=D115,$G$112&gt;B115),1,0)</f>
        <v>0</v>
      </c>
      <c r="H115" s="223" t="n">
        <f>IF(G115=1,(F114+($G$112-D114)*E115),0)</f>
        <v>0</v>
      </c>
    </row>
    <row r="116" ht="14.002500000000003" customHeight="1">
      <c r="A116" s="212" t="n">
        <v>4</v>
      </c>
      <c r="B116" s="212" t="n">
        <v>10001</v>
      </c>
      <c r="C116" s="212" t="s">
        <v>202</v>
      </c>
      <c r="D116" s="212" t="n">
        <v>50000</v>
      </c>
      <c r="E116" s="259" t="n">
        <v>0.01</v>
      </c>
      <c r="F116" s="212" t="n">
        <f>F115+(D116-D115)*E116</f>
        <v>540</v>
      </c>
      <c r="G116" s="228" t="n">
        <f>IF(AND($G$112&lt;=D116,$G$112&gt;B116),1,0)</f>
        <v>0</v>
      </c>
      <c r="H116" s="223" t="n">
        <f>IF(G116=1,(F115+($G$112-D115)*E116),0)</f>
        <v>0</v>
      </c>
    </row>
    <row r="117" ht="14.002500000000003" customHeight="1">
      <c r="A117" s="212" t="n">
        <v>5</v>
      </c>
      <c r="B117" s="212" t="n">
        <v>50001</v>
      </c>
      <c r="C117" s="212" t="s">
        <v>202</v>
      </c>
      <c r="D117" s="212" t="n">
        <v>100000</v>
      </c>
      <c r="E117" s="261" t="n">
        <v>0.008</v>
      </c>
      <c r="F117" s="212" t="n">
        <f>F116+(D117-D116)*E117</f>
        <v>940</v>
      </c>
      <c r="G117" s="228" t="n">
        <f>IF(AND($G$112&lt;=D117,$G$112&gt;B117),1,0)</f>
        <v>0</v>
      </c>
      <c r="H117" s="223" t="n">
        <f>IF(G117=1,(F116+($G$112-D116)*E117),0)</f>
        <v>0</v>
      </c>
    </row>
    <row r="118" ht="14.002500000000003" customHeight="1">
      <c r="A118" s="212" t="n">
        <v>6</v>
      </c>
      <c r="B118" s="212" t="n">
        <v>100000</v>
      </c>
      <c r="C118" s="212" t="s">
        <v>209</v>
      </c>
      <c r="D118" s="212"/>
      <c r="E118" s="261" t="n">
        <v>0.004</v>
      </c>
      <c r="F118" s="212"/>
      <c r="G118" s="228" t="n">
        <f>IF(AND($G$112&gt;B118),1,0)</f>
        <v>0</v>
      </c>
      <c r="H118" s="223" t="n">
        <f>IF(G118=1,(F117+($G$112-D117)*E118),0)</f>
        <v>0</v>
      </c>
    </row>
    <row r="119" ht="14.002500000000003" customHeight="1">
      <c r="G119" s="208"/>
      <c r="H119" s="208"/>
    </row>
    <row r="121" ht="14.002500000000003" customHeight="1">
      <c r="A121" s="390" t="s">
        <v>144</v>
      </c>
      <c r="B121" s="391"/>
      <c r="C121" s="391"/>
      <c r="D121" s="391"/>
      <c r="E121" s="392"/>
    </row>
    <row r="122" ht="16.5" customHeight="1">
      <c r="A122" s="222" t="s">
        <v>5</v>
      </c>
      <c r="B122" s="222" t="s">
        <v>237</v>
      </c>
      <c r="C122" s="222" t="s">
        <v>238</v>
      </c>
      <c r="D122" s="222" t="s">
        <v>199</v>
      </c>
      <c r="E122" s="225" t="s">
        <v>200</v>
      </c>
    </row>
    <row r="123" ht="14.002500000000003" customHeight="1">
      <c r="A123" s="212"/>
      <c r="B123" s="212"/>
      <c r="C123" s="212"/>
      <c r="D123" s="223" t="n">
        <f>C2</f>
        <v>3992.88</v>
      </c>
      <c r="E123" s="223" t="n">
        <f>SUM(E124:E142)</f>
        <v>133.636044</v>
      </c>
    </row>
    <row r="124" ht="14.002500000000003" customHeight="1">
      <c r="A124" s="212" t="n">
        <v>1</v>
      </c>
      <c r="B124" s="212" t="n">
        <v>200</v>
      </c>
      <c r="C124" s="256" t="n">
        <v>9</v>
      </c>
      <c r="D124" s="228" t="n">
        <f>IF(D123&lt;=B124,1,0)</f>
        <v>0</v>
      </c>
      <c r="E124" s="223" t="n">
        <f>IF(D124=1,(C124/B124*D123),0)</f>
        <v>0</v>
      </c>
    </row>
    <row r="125" ht="14.002500000000003" customHeight="1">
      <c r="A125" s="212" t="n">
        <v>2</v>
      </c>
      <c r="B125" s="212" t="n">
        <v>500</v>
      </c>
      <c r="C125" s="256" t="n">
        <v>20.9</v>
      </c>
      <c r="D125" s="228" t="n">
        <f>IF(AND($D$123&lt;=B125,$D$123&gt;B124),1,0)</f>
        <v>0</v>
      </c>
      <c r="E125" s="223" t="n">
        <f>IF($D125=1,(C124+(C125-C124)/($B125-$B124)*($D$123-$B124)),0)</f>
        <v>0</v>
      </c>
    </row>
    <row r="126" ht="14.002500000000003" customHeight="1">
      <c r="A126" s="212" t="n">
        <v>3</v>
      </c>
      <c r="B126" s="212" t="n">
        <v>1000</v>
      </c>
      <c r="C126" s="256" t="n">
        <v>38.8</v>
      </c>
      <c r="D126" s="228" t="n">
        <f>IF(AND($D$123&lt;=B126,$D$123&gt;B125),1,0)</f>
        <v>0</v>
      </c>
      <c r="E126" s="223" t="n">
        <f>IF($D126=1,(C125+(C126-C125)/($B126-$B125)*($D$123-$B125)),0)</f>
        <v>0</v>
      </c>
    </row>
    <row r="127" ht="14.002500000000003" customHeight="1">
      <c r="A127" s="212" t="n">
        <v>4</v>
      </c>
      <c r="B127" s="212" t="n">
        <v>3000</v>
      </c>
      <c r="C127" s="256" t="n">
        <v>103.8</v>
      </c>
      <c r="D127" s="228" t="n">
        <f>IF(AND($D$123&lt;=B127,$D$123&gt;B126),1,0)</f>
        <v>0</v>
      </c>
      <c r="E127" s="223" t="n">
        <f>IF($D127=1,(C126+(C127-C126)/($B127-$B126)*($D$123-$B126)),0)</f>
        <v>0</v>
      </c>
    </row>
    <row r="128" ht="14.002500000000003" customHeight="1">
      <c r="A128" s="212" t="n">
        <v>5</v>
      </c>
      <c r="B128" s="212" t="n">
        <v>5000</v>
      </c>
      <c r="C128" s="256" t="n">
        <v>163.9</v>
      </c>
      <c r="D128" s="228" t="n">
        <f>IF(AND($D$123&lt;=B128,$D$123&gt;B127),1,0)</f>
        <v>1</v>
      </c>
      <c r="E128" s="223" t="n">
        <f>IF($D128=1,(C127+(C128-C127)/($B128-$B127)*($D$123-$B127)),0)</f>
        <v>133.636044</v>
      </c>
    </row>
    <row r="129" ht="14.002500000000003" customHeight="1">
      <c r="A129" s="212" t="n">
        <v>6</v>
      </c>
      <c r="B129" s="212" t="n">
        <v>8000</v>
      </c>
      <c r="C129" s="256" t="n">
        <v>249.6</v>
      </c>
      <c r="D129" s="228" t="n">
        <f>IF(AND($D$123&lt;=B129,$D$123&gt;B128),1,0)</f>
        <v>0</v>
      </c>
      <c r="E129" s="223" t="n">
        <f>IF($D129=1,(C128+(C129-C128)/($B129-$B128)*($D$123-$B128)),0)</f>
        <v>0</v>
      </c>
    </row>
    <row r="130" ht="14.002500000000003" customHeight="1">
      <c r="A130" s="212" t="n">
        <v>7</v>
      </c>
      <c r="B130" s="212" t="n">
        <v>10000</v>
      </c>
      <c r="C130" s="256" t="n">
        <v>304.8</v>
      </c>
      <c r="D130" s="228" t="n">
        <f>IF(AND($D$123&lt;=B130,$D$123&gt;B129),1,0)</f>
        <v>0</v>
      </c>
      <c r="E130" s="223" t="n">
        <f>IF($D130=1,(C129+(C130-C129)/($B130-$B129)*($D$123-$B129)),0)</f>
        <v>0</v>
      </c>
    </row>
    <row r="131" ht="14.002500000000003" customHeight="1">
      <c r="A131" s="212" t="n">
        <v>8</v>
      </c>
      <c r="B131" s="212" t="n">
        <v>20000</v>
      </c>
      <c r="C131" s="256" t="n">
        <v>566.8</v>
      </c>
      <c r="D131" s="228" t="n">
        <f>IF(AND($D$123&lt;=B131,$D$123&gt;B130),1,0)</f>
        <v>0</v>
      </c>
      <c r="E131" s="223" t="n">
        <f>IF($D131=1,(C130+(C131-C130)/($B131-$B130)*($D$123-$B130)),0)</f>
        <v>0</v>
      </c>
    </row>
    <row r="132" ht="14.002500000000003" customHeight="1">
      <c r="A132" s="212" t="n">
        <v>9</v>
      </c>
      <c r="B132" s="212" t="n">
        <v>40000</v>
      </c>
      <c r="C132" s="256" t="n">
        <v>1054</v>
      </c>
      <c r="D132" s="228" t="n">
        <f>IF(AND($D$123&lt;=B132,$D$123&gt;B131),1,0)</f>
        <v>0</v>
      </c>
      <c r="E132" s="223" t="n">
        <f>IF($D132=1,(C131+(C132-C131)/($B132-$B131)*($D$123-$B131)),0)</f>
        <v>0</v>
      </c>
    </row>
    <row r="133" ht="14.002500000000003" customHeight="1">
      <c r="A133" s="212" t="n">
        <v>10</v>
      </c>
      <c r="B133" s="212" t="n">
        <v>60000</v>
      </c>
      <c r="C133" s="256" t="n">
        <v>1515.2</v>
      </c>
      <c r="D133" s="228" t="n">
        <f>IF(AND($D$123&lt;=B133,$D$123&gt;B132),1,0)</f>
        <v>0</v>
      </c>
      <c r="E133" s="223" t="n">
        <f>IF($D133=1,(C132+(C133-C132)/($B133-$B132)*($D$123-$B132)),0)</f>
        <v>0</v>
      </c>
    </row>
    <row r="134" ht="14.002500000000003" customHeight="1">
      <c r="A134" s="212" t="n">
        <v>11</v>
      </c>
      <c r="B134" s="212" t="n">
        <v>80000</v>
      </c>
      <c r="C134" s="256" t="n">
        <v>1960.1</v>
      </c>
      <c r="D134" s="228" t="n">
        <f>IF(AND($D$123&lt;=B134,$D$123&gt;B133),1,0)</f>
        <v>0</v>
      </c>
      <c r="E134" s="223" t="n">
        <f>IF($D134=1,(C133+(C134-C133)/($B134-$B133)*($D$123-$B133)),0)</f>
        <v>0</v>
      </c>
    </row>
    <row r="135" ht="14.002500000000003" customHeight="1">
      <c r="A135" s="212" t="n">
        <v>12</v>
      </c>
      <c r="B135" s="212" t="n">
        <v>100000</v>
      </c>
      <c r="C135" s="256" t="n">
        <v>2393.4</v>
      </c>
      <c r="D135" s="228" t="n">
        <f>IF(AND($D$123&lt;=B135,$D$123&gt;B134),1,0)</f>
        <v>0</v>
      </c>
      <c r="E135" s="223" t="n">
        <f>IF($D135=1,(C134+(C135-C134)/($B135-$B134)*($D$123-$B134)),0)</f>
        <v>0</v>
      </c>
    </row>
    <row r="136" ht="14.002500000000003" customHeight="1">
      <c r="A136" s="212" t="n">
        <v>13</v>
      </c>
      <c r="B136" s="212" t="n">
        <v>200000</v>
      </c>
      <c r="C136" s="256" t="n">
        <v>4450.8</v>
      </c>
      <c r="D136" s="228" t="n">
        <f>IF(AND($D$123&lt;=B136,$D$123&gt;B135),1,0)</f>
        <v>0</v>
      </c>
      <c r="E136" s="223" t="n">
        <f>IF($D136=1,(C135+(C136-C135)/($B136-$B135)*($D$123-$B135)),0)</f>
        <v>0</v>
      </c>
    </row>
    <row r="137" ht="14.002500000000003" customHeight="1">
      <c r="A137" s="212" t="n">
        <v>14</v>
      </c>
      <c r="B137" s="212" t="n">
        <v>400000</v>
      </c>
      <c r="C137" s="256" t="n">
        <v>8276.7</v>
      </c>
      <c r="D137" s="228" t="n">
        <f>IF(AND($D$123&lt;=B137,$D$123&gt;B136),1,0)</f>
        <v>0</v>
      </c>
      <c r="E137" s="223" t="n">
        <f>IF($D137=1,(C136+(C137-C136)/($B137-$B136)*($D$123-$B136)),0)</f>
        <v>0</v>
      </c>
    </row>
    <row r="138" ht="14.002500000000003" customHeight="1">
      <c r="A138" s="212" t="n">
        <v>15</v>
      </c>
      <c r="B138" s="212" t="n">
        <v>600000</v>
      </c>
      <c r="C138" s="256" t="n">
        <v>11897.5</v>
      </c>
      <c r="D138" s="228" t="n">
        <f>IF(AND($D$123&lt;=B138,$D$123&gt;B137),1,0)</f>
        <v>0</v>
      </c>
      <c r="E138" s="223" t="n">
        <f>IF($D138=1,(C137+(C138-C137)/($B138-$B137)*($D$123-$B137)),0)</f>
        <v>0</v>
      </c>
    </row>
    <row r="139" ht="14.002500000000003" customHeight="1">
      <c r="A139" s="212" t="n">
        <v>16</v>
      </c>
      <c r="B139" s="212" t="n">
        <v>800000</v>
      </c>
      <c r="C139" s="256" t="n">
        <v>15391.4</v>
      </c>
      <c r="D139" s="228" t="n">
        <f>IF(AND($D$123&lt;=B139,$D$123&gt;B138),1,0)</f>
        <v>0</v>
      </c>
      <c r="E139" s="223" t="n">
        <f>IF($D139=1,(C138+(C139-C138)/($B139-$B138)*($D$123-$B138)),0)</f>
        <v>0</v>
      </c>
    </row>
    <row r="140" ht="14.002500000000003" customHeight="1">
      <c r="A140" s="212" t="n">
        <v>17</v>
      </c>
      <c r="B140" s="212" t="n">
        <v>1000000</v>
      </c>
      <c r="C140" s="256" t="n">
        <v>18793.8</v>
      </c>
      <c r="D140" s="228" t="n">
        <f>IF(AND($D$123&lt;=B140,$D$123&gt;B139),1,0)</f>
        <v>0</v>
      </c>
      <c r="E140" s="223" t="n">
        <f>IF($D140=1,(C139+(C140-C139)/($B140-$B139)*($D$123-$B139)),0)</f>
        <v>0</v>
      </c>
    </row>
    <row r="141" ht="14.002500000000003" customHeight="1">
      <c r="A141" s="212" t="n">
        <v>18</v>
      </c>
      <c r="B141" s="212" t="n">
        <v>2000000</v>
      </c>
      <c r="C141" s="256" t="n">
        <v>34948.9</v>
      </c>
      <c r="D141" s="228" t="n">
        <f>IF(AND($D$123&lt;=B141,$D$123&gt;B140),1,0)</f>
        <v>0</v>
      </c>
      <c r="E141" s="223" t="n">
        <f>IF($D141=1,(C140+(C141-C140)/($B141-$B140)*($D$123-$B140)),0)</f>
        <v>0</v>
      </c>
    </row>
    <row r="142" ht="14.002500000000003" customHeight="1">
      <c r="A142" s="212" t="n">
        <v>19</v>
      </c>
      <c r="B142" s="212"/>
      <c r="C142" s="212"/>
      <c r="D142" s="228" t="n">
        <f>IF(D123&gt;B141,1,0)</f>
        <v>0</v>
      </c>
      <c r="E142" s="223" t="n">
        <f>IF(D142=1,D123*1.6%,0)</f>
        <v>0</v>
      </c>
    </row>
    <row r="143" ht="14.002500000000003" customHeight="1">
      <c r="A143" s="209"/>
      <c r="B143" s="209"/>
      <c r="C143" s="209"/>
      <c r="D143" s="231"/>
      <c r="E143" s="232"/>
    </row>
    <row r="144" ht="14.002500000000003" customHeight="1">
      <c r="A144" s="209"/>
      <c r="B144" s="209"/>
      <c r="C144" s="209"/>
      <c r="D144" s="231"/>
      <c r="E144" s="232"/>
    </row>
    <row r="145" ht="14.002500000000003" customHeight="1">
      <c r="A145" s="393" t="s">
        <v>239</v>
      </c>
      <c r="B145" s="394"/>
      <c r="C145" s="394"/>
      <c r="D145" s="394"/>
      <c r="E145" s="395"/>
    </row>
    <row r="146" ht="16.5" customHeight="1">
      <c r="A146" s="222" t="s">
        <v>5</v>
      </c>
      <c r="B146" s="222" t="s">
        <v>237</v>
      </c>
      <c r="C146" s="222" t="s">
        <v>238</v>
      </c>
      <c r="D146" s="222" t="s">
        <v>233</v>
      </c>
      <c r="E146" s="225" t="s">
        <v>200</v>
      </c>
    </row>
    <row r="147" ht="14.002500000000003" customHeight="1">
      <c r="A147" s="212"/>
      <c r="B147" s="212"/>
      <c r="C147" s="212"/>
      <c r="D147" s="263" t="n">
        <f>C2</f>
        <v>3992.88</v>
      </c>
      <c r="E147" s="223" t="n">
        <f>SUM(E148:E164)</f>
        <v>99.297988</v>
      </c>
    </row>
    <row r="148" ht="14.002500000000003" customHeight="1">
      <c r="A148" s="212" t="n">
        <v>1</v>
      </c>
      <c r="B148" s="212" t="n">
        <v>500</v>
      </c>
      <c r="C148" s="256" t="n">
        <v>16.5</v>
      </c>
      <c r="D148" s="228" t="n">
        <f>IF(D147&lt;=B148,1,0)</f>
        <v>0</v>
      </c>
      <c r="E148" s="223" t="n">
        <f>IF(D148=1,(C148/B148*D147),0)</f>
        <v>0</v>
      </c>
    </row>
    <row r="149" ht="14.002500000000003" customHeight="1">
      <c r="A149" s="212" t="n">
        <v>2</v>
      </c>
      <c r="B149" s="212" t="n">
        <v>1000</v>
      </c>
      <c r="C149" s="256" t="n">
        <v>30.1</v>
      </c>
      <c r="D149" s="228" t="n">
        <f>IF(AND($D$147&lt;=B149,$D$147&gt;B148),1,0)</f>
        <v>0</v>
      </c>
      <c r="E149" s="223" t="n">
        <f>IF($D149=1,(C148+(C149-C148)/($B149-$B148)*($D$147-$B148)),0)</f>
        <v>0</v>
      </c>
    </row>
    <row r="150" ht="14.002500000000003" customHeight="1">
      <c r="A150" s="212" t="n">
        <v>3</v>
      </c>
      <c r="B150" s="212" t="n">
        <v>3000</v>
      </c>
      <c r="C150" s="256" t="n">
        <v>78.1</v>
      </c>
      <c r="D150" s="228" t="n">
        <f>IF(AND($D$147&lt;=B150,$D$147&gt;B149),1,0)</f>
        <v>0</v>
      </c>
      <c r="E150" s="223" t="n">
        <f>IF($D150=1,(C149+(C150-C149)/($B150-$B149)*($D$147-$B149)),0)</f>
        <v>0</v>
      </c>
    </row>
    <row r="151" ht="14.002500000000003" customHeight="1">
      <c r="A151" s="212" t="n">
        <v>4</v>
      </c>
      <c r="B151" s="212" t="n">
        <v>5000</v>
      </c>
      <c r="C151" s="256" t="n">
        <v>120.8</v>
      </c>
      <c r="D151" s="228" t="n">
        <f>IF(AND($D$147&lt;=B151,$D$147&gt;B150),1,0)</f>
        <v>1</v>
      </c>
      <c r="E151" s="223" t="n">
        <f>IF($D151=1,(C150+(C151-C150)/($B151-$B150)*($D$147-$B150)),0)</f>
        <v>99.297988</v>
      </c>
    </row>
    <row r="152" ht="14.002500000000003" customHeight="1">
      <c r="A152" s="212" t="n">
        <v>5</v>
      </c>
      <c r="B152" s="212" t="n">
        <v>8000</v>
      </c>
      <c r="C152" s="256" t="n">
        <v>181</v>
      </c>
      <c r="D152" s="228" t="n">
        <f>IF(AND($D$147&lt;=B152,$D$147&gt;B151),1,0)</f>
        <v>0</v>
      </c>
      <c r="E152" s="223" t="n">
        <f>IF($D152=1,(C151+(C152-C151)/($B152-$B151)*($D$147-$B151)),0)</f>
        <v>0</v>
      </c>
    </row>
    <row r="153" ht="14.002500000000003" customHeight="1">
      <c r="A153" s="212" t="n">
        <v>6</v>
      </c>
      <c r="B153" s="212" t="n">
        <v>10000</v>
      </c>
      <c r="C153" s="256" t="n">
        <v>218.6</v>
      </c>
      <c r="D153" s="228" t="n">
        <f>IF(AND($D$147&lt;=B153,$D$147&gt;B152),1,0)</f>
        <v>0</v>
      </c>
      <c r="E153" s="223" t="n">
        <f>IF($D153=1,(C152+(C153-C152)/($B153-$B152)*($D$147-$B152)),0)</f>
        <v>0</v>
      </c>
    </row>
    <row r="154" ht="14.002500000000003" customHeight="1">
      <c r="A154" s="212" t="n">
        <v>7</v>
      </c>
      <c r="B154" s="212" t="n">
        <v>20000</v>
      </c>
      <c r="C154" s="256" t="n">
        <v>393.4</v>
      </c>
      <c r="D154" s="228" t="n">
        <f>IF(AND($D$147&lt;=B154,$D$147&gt;B153),1,0)</f>
        <v>0</v>
      </c>
      <c r="E154" s="223" t="n">
        <f>IF($D154=1,(C153+(C154-C153)/($B154-$B153)*($D$147-$B153)),0)</f>
        <v>0</v>
      </c>
    </row>
    <row r="155" ht="14.002500000000003" customHeight="1">
      <c r="A155" s="212" t="n">
        <v>8</v>
      </c>
      <c r="B155" s="212" t="n">
        <v>40000</v>
      </c>
      <c r="C155" s="256" t="n">
        <v>708.2</v>
      </c>
      <c r="D155" s="228" t="n">
        <f>IF(AND($D$147&lt;=B155,$D$147&gt;B154),1,0)</f>
        <v>0</v>
      </c>
      <c r="E155" s="223" t="n">
        <f>IF($D155=1,(C154+(C155-C154)/($B155-$B154)*($D$147-$B154)),0)</f>
        <v>0</v>
      </c>
    </row>
    <row r="156" ht="14.002500000000003" customHeight="1">
      <c r="A156" s="212" t="n">
        <v>9</v>
      </c>
      <c r="B156" s="212" t="n">
        <v>60000</v>
      </c>
      <c r="C156" s="256" t="n">
        <v>991.4</v>
      </c>
      <c r="D156" s="228" t="n">
        <f>IF(AND($D$147&lt;=B156,$D$147&gt;B155),1,0)</f>
        <v>0</v>
      </c>
      <c r="E156" s="223" t="n">
        <f>IF($D156=1,(C155+(C156-C155)/($B156-$B155)*($D$147-$B155)),0)</f>
        <v>0</v>
      </c>
    </row>
    <row r="157" ht="14.002500000000003" customHeight="1">
      <c r="A157" s="212" t="n">
        <v>10</v>
      </c>
      <c r="B157" s="212" t="n">
        <v>80000</v>
      </c>
      <c r="C157" s="256" t="n">
        <v>1255.8</v>
      </c>
      <c r="D157" s="228" t="n">
        <f>IF(AND($D$147&lt;=B157,$D$147&gt;B156),1,0)</f>
        <v>0</v>
      </c>
      <c r="E157" s="223" t="n">
        <f>IF($D157=1,(C156+(C157-C156)/($B157-$B156)*($D$147-$B156)),0)</f>
        <v>0</v>
      </c>
    </row>
    <row r="158" ht="14.002500000000003" customHeight="1">
      <c r="A158" s="212" t="n">
        <v>11</v>
      </c>
      <c r="B158" s="212" t="n">
        <v>100000</v>
      </c>
      <c r="C158" s="256" t="n">
        <v>1507</v>
      </c>
      <c r="D158" s="228" t="n">
        <f>IF(AND($D$147&lt;=B158,$D$147&gt;B157),1,0)</f>
        <v>0</v>
      </c>
      <c r="E158" s="223" t="n">
        <f>IF($D158=1,(C157+(C158-C157)/($B158-$B157)*($D$147-$B157)),0)</f>
        <v>0</v>
      </c>
    </row>
    <row r="159" ht="14.002500000000003" customHeight="1">
      <c r="A159" s="212" t="n">
        <v>12</v>
      </c>
      <c r="B159" s="212" t="n">
        <v>200000</v>
      </c>
      <c r="C159" s="256" t="n">
        <v>2712.5</v>
      </c>
      <c r="D159" s="228" t="n">
        <f>IF(AND($D$147&lt;=B159,$D$147&gt;B158),1,0)</f>
        <v>0</v>
      </c>
      <c r="E159" s="223" t="n">
        <f>IF($D159=1,(C158+(C159-C158)/($B159-$B158)*($D$147-$B158)),0)</f>
        <v>0</v>
      </c>
    </row>
    <row r="160" ht="14.002500000000003" customHeight="1">
      <c r="A160" s="212" t="n">
        <v>13</v>
      </c>
      <c r="B160" s="212" t="n">
        <v>400000</v>
      </c>
      <c r="C160" s="256" t="n">
        <v>4882.6</v>
      </c>
      <c r="D160" s="228" t="n">
        <f>IF(AND($D$147&lt;=B160,$D$147&gt;B159),1,0)</f>
        <v>0</v>
      </c>
      <c r="E160" s="223" t="n">
        <f>IF($D160=1,(C159+(C160-C159)/($B160-$B159)*($D$147-$B159)),0)</f>
        <v>0</v>
      </c>
    </row>
    <row r="161" ht="14.002500000000003" customHeight="1">
      <c r="A161" s="212" t="n">
        <v>14</v>
      </c>
      <c r="B161" s="212" t="n">
        <v>600000</v>
      </c>
      <c r="C161" s="256" t="n">
        <v>6835.6</v>
      </c>
      <c r="D161" s="228" t="n">
        <f>IF(AND($D$147&lt;=B161,$D$147&gt;B160),1,0)</f>
        <v>0</v>
      </c>
      <c r="E161" s="223" t="n">
        <f>IF($D161=1,(C160+(C161-C160)/($B161-$B160)*($D$147-$B160)),0)</f>
        <v>0</v>
      </c>
    </row>
    <row r="162" ht="14.002500000000003" customHeight="1">
      <c r="A162" s="212" t="n">
        <v>15</v>
      </c>
      <c r="B162" s="212" t="n">
        <v>800000</v>
      </c>
      <c r="C162" s="256" t="n">
        <v>8658.4</v>
      </c>
      <c r="D162" s="228" t="n">
        <f>IF(AND($D$147&lt;=B162,$D$147&gt;B161),1,0)</f>
        <v>0</v>
      </c>
      <c r="E162" s="223" t="n">
        <f>IF($D162=1,(C161+(C162-C161)/($B162-$B161)*($D$147-$B161)),0)</f>
        <v>0</v>
      </c>
    </row>
    <row r="163" ht="14.002500000000003" customHeight="1">
      <c r="A163" s="212" t="n">
        <v>16</v>
      </c>
      <c r="B163" s="212" t="n">
        <v>1000000</v>
      </c>
      <c r="C163" s="256" t="n">
        <v>10390.1</v>
      </c>
      <c r="D163" s="228" t="n">
        <f>IF(AND($D$147&lt;=B163,$D$147&gt;B162),1,0)</f>
        <v>0</v>
      </c>
      <c r="E163" s="223" t="n">
        <f>IF($D163=1,(C162+(C163-C162)/($B163-$B162)*($D$147-$B162)),0)</f>
        <v>0</v>
      </c>
    </row>
    <row r="164" ht="14.002500000000003" customHeight="1">
      <c r="A164" s="212" t="n">
        <v>16</v>
      </c>
      <c r="B164" s="212"/>
      <c r="C164" s="212"/>
      <c r="D164" s="228" t="n">
        <f>IF(D147&gt;B163,1,0)</f>
        <v>0</v>
      </c>
      <c r="E164" s="223" t="n">
        <f>IF(D164=1,D147*C163/B163,0)</f>
        <v>0</v>
      </c>
    </row>
    <row r="167" ht="14.002500000000003" customHeight="1">
      <c r="A167" s="382" t="s">
        <v>240</v>
      </c>
      <c r="B167" s="382"/>
      <c r="C167" s="382"/>
      <c r="D167" s="382"/>
      <c r="E167" s="382"/>
      <c r="F167" s="382"/>
      <c r="G167" s="382"/>
      <c r="H167" s="382"/>
    </row>
    <row r="168" ht="14.002500000000003" customHeight="1">
      <c r="A168" s="368" t="s">
        <v>232</v>
      </c>
      <c r="B168" s="368"/>
      <c r="C168" s="368"/>
      <c r="D168" s="368"/>
      <c r="E168" s="368"/>
      <c r="F168" s="222"/>
      <c r="G168" s="222" t="s">
        <v>233</v>
      </c>
      <c r="H168" s="222" t="s">
        <v>234</v>
      </c>
    </row>
    <row r="169" ht="14.002500000000003" customHeight="1">
      <c r="A169" s="222" t="s">
        <v>5</v>
      </c>
      <c r="B169" s="368" t="s">
        <v>197</v>
      </c>
      <c r="C169" s="368"/>
      <c r="D169" s="368"/>
      <c r="E169" s="222" t="s">
        <v>235</v>
      </c>
      <c r="F169" s="222" t="s">
        <v>236</v>
      </c>
      <c r="G169" s="258" t="n">
        <f>C2</f>
        <v>3992.88</v>
      </c>
      <c r="H169" s="227" t="n">
        <f>SUM(H170:H176)</f>
        <v>33.964464</v>
      </c>
    </row>
    <row r="170" ht="14.002500000000003" customHeight="1">
      <c r="A170" s="212" t="n">
        <v>1</v>
      </c>
      <c r="B170" s="212"/>
      <c r="C170" s="212" t="s">
        <v>201</v>
      </c>
      <c r="D170" s="212" t="n">
        <v>200</v>
      </c>
      <c r="E170" s="261" t="n">
        <v>0.0102</v>
      </c>
      <c r="F170" s="264" t="n">
        <f>E170*D170</f>
        <v>2.04</v>
      </c>
      <c r="G170" s="228" t="n">
        <f>IF($G$169&lt;=D170,1,0)</f>
        <v>0</v>
      </c>
      <c r="H170" s="223" t="n">
        <f>IF(G170=1,(G169*E170),0)</f>
        <v>0</v>
      </c>
      <c r="I170" s="361"/>
    </row>
    <row r="171" ht="14.002500000000003" customHeight="1">
      <c r="A171" s="212" t="n">
        <v>2</v>
      </c>
      <c r="B171" s="212" t="n">
        <v>200</v>
      </c>
      <c r="C171" s="212" t="s">
        <v>202</v>
      </c>
      <c r="D171" s="212" t="n">
        <v>500</v>
      </c>
      <c r="E171" s="261" t="n">
        <v>0.0096</v>
      </c>
      <c r="F171" s="264" t="n">
        <f>F170+(D171-B171)*E171</f>
        <v>4.92</v>
      </c>
      <c r="G171" s="228" t="n">
        <f>IF(AND($G$169&lt;=D171,$G$169&gt;B171),1,0)</f>
        <v>0</v>
      </c>
      <c r="H171" s="223" t="n">
        <f>IF(G171=1,(F170+($G$169-D170)*E171),0)</f>
        <v>0</v>
      </c>
      <c r="I171" s="361"/>
    </row>
    <row r="172" ht="14.002500000000003" customHeight="1">
      <c r="A172" s="212" t="n">
        <v>3</v>
      </c>
      <c r="B172" s="212" t="n">
        <v>500</v>
      </c>
      <c r="C172" s="212" t="s">
        <v>202</v>
      </c>
      <c r="D172" s="212" t="n">
        <v>1000</v>
      </c>
      <c r="E172" s="261" t="n">
        <v>0.009</v>
      </c>
      <c r="F172" s="264" t="n">
        <f>F171+(D172-B172)*E172</f>
        <v>9.42</v>
      </c>
      <c r="G172" s="228" t="n">
        <f>IF(AND($G$169&lt;=D172,$G$169&gt;B172),1,0)</f>
        <v>0</v>
      </c>
      <c r="H172" s="223" t="n">
        <f>IF(G172=1,(F171+($G$169-D171)*E172),0)</f>
        <v>0</v>
      </c>
      <c r="I172" s="361"/>
    </row>
    <row r="173" ht="14.002500000000003" customHeight="1">
      <c r="A173" s="212" t="n">
        <v>4</v>
      </c>
      <c r="B173" s="212" t="n">
        <v>1000</v>
      </c>
      <c r="C173" s="212" t="s">
        <v>202</v>
      </c>
      <c r="D173" s="212" t="n">
        <v>3000</v>
      </c>
      <c r="E173" s="261" t="n">
        <v>0.0084</v>
      </c>
      <c r="F173" s="264" t="n">
        <f>F172+(D173-B173)*E173</f>
        <v>26.22</v>
      </c>
      <c r="G173" s="228" t="n">
        <f>IF(AND($G$169&lt;=D173,$G$169&gt;B173),1,0)</f>
        <v>0</v>
      </c>
      <c r="H173" s="223" t="n">
        <f>IF(G173=1,(F172+($G$169-D172)*E173),0)</f>
        <v>0</v>
      </c>
      <c r="I173" s="361"/>
    </row>
    <row r="174" ht="14.002500000000003" customHeight="1">
      <c r="A174" s="212" t="n">
        <v>5</v>
      </c>
      <c r="B174" s="212" t="n">
        <v>3000</v>
      </c>
      <c r="C174" s="212" t="s">
        <v>202</v>
      </c>
      <c r="D174" s="212" t="n">
        <v>6000</v>
      </c>
      <c r="E174" s="261" t="n">
        <v>0.0078</v>
      </c>
      <c r="F174" s="264" t="n">
        <f>F173+(D174-B174)*E174</f>
        <v>49.62</v>
      </c>
      <c r="G174" s="228" t="n">
        <f>IF(AND($G$169&lt;=D174,$G$169&gt;B174),1,0)</f>
        <v>1</v>
      </c>
      <c r="H174" s="223" t="n">
        <f>IF(G174=1,(F173+($G$169-D173)*E174),0)</f>
        <v>33.964464</v>
      </c>
      <c r="I174" s="361"/>
    </row>
    <row r="175" ht="14.002500000000003" customHeight="1">
      <c r="A175" s="212" t="n">
        <v>6</v>
      </c>
      <c r="B175" s="212" t="n">
        <v>6000</v>
      </c>
      <c r="C175" s="212" t="s">
        <v>202</v>
      </c>
      <c r="D175" s="212" t="n">
        <v>10000</v>
      </c>
      <c r="E175" s="261" t="n">
        <v>0.0072</v>
      </c>
      <c r="F175" s="264" t="n">
        <f>F174+(D175-B175)*E175</f>
        <v>78.42</v>
      </c>
      <c r="G175" s="228" t="n">
        <f>IF(AND($G$169&lt;=D175,$G$169&gt;B175),1,0)</f>
        <v>0</v>
      </c>
      <c r="H175" s="223" t="n">
        <f>IF(G175=1,(F174+($G$169-D174)*E175),0)</f>
        <v>0</v>
      </c>
      <c r="I175" s="361"/>
    </row>
    <row r="176" ht="14.002500000000003" customHeight="1">
      <c r="A176" s="212" t="n">
        <v>7</v>
      </c>
      <c r="B176" s="212" t="n">
        <v>10000</v>
      </c>
      <c r="C176" s="212" t="s">
        <v>209</v>
      </c>
      <c r="D176" s="229"/>
      <c r="E176" s="261" t="n">
        <v>0.0066</v>
      </c>
      <c r="F176" s="264"/>
      <c r="G176" s="228" t="n">
        <f>IF(AND($G$169&gt;B176),1,0)</f>
        <v>0</v>
      </c>
      <c r="H176" s="223" t="n">
        <f>IF(G176=1,(F175+($G$169-D175)*E176),0)</f>
        <v>0</v>
      </c>
    </row>
    <row r="179" ht="14.002500000000003" customHeight="1">
      <c r="A179" s="393" t="s">
        <v>150</v>
      </c>
      <c r="B179" s="394"/>
      <c r="C179" s="394"/>
      <c r="D179" s="394"/>
      <c r="E179" s="394"/>
      <c r="F179" s="394"/>
      <c r="G179" s="394"/>
      <c r="H179" s="395"/>
    </row>
    <row r="180" ht="14.002500000000003" customHeight="1">
      <c r="A180" s="368" t="s">
        <v>232</v>
      </c>
      <c r="B180" s="368"/>
      <c r="C180" s="368"/>
      <c r="D180" s="368"/>
      <c r="E180" s="368"/>
      <c r="F180" s="222"/>
      <c r="G180" s="222" t="s">
        <v>233</v>
      </c>
      <c r="H180" s="222" t="s">
        <v>234</v>
      </c>
    </row>
    <row r="181" ht="14.002500000000003" customHeight="1">
      <c r="A181" s="222" t="s">
        <v>5</v>
      </c>
      <c r="B181" s="368" t="s">
        <v>197</v>
      </c>
      <c r="C181" s="368"/>
      <c r="D181" s="368"/>
      <c r="E181" s="222" t="s">
        <v>235</v>
      </c>
      <c r="F181" s="222" t="s">
        <v>236</v>
      </c>
      <c r="G181" s="227" t="n">
        <f>C2</f>
        <v>3992.88</v>
      </c>
      <c r="H181" s="227" t="n">
        <f>SUM(H182:H185)</f>
        <v>5.391456</v>
      </c>
    </row>
    <row r="182" ht="14.002500000000003" customHeight="1">
      <c r="A182" s="212" t="n">
        <v>1</v>
      </c>
      <c r="B182" s="212"/>
      <c r="C182" s="212" t="s">
        <v>201</v>
      </c>
      <c r="D182" s="212" t="n">
        <v>500</v>
      </c>
      <c r="E182" s="265" t="n">
        <v>0.002</v>
      </c>
      <c r="F182" s="264" t="n">
        <f>E182*D182</f>
        <v>1</v>
      </c>
      <c r="G182" s="228" t="n">
        <f>IF($G$181&lt;=D182,1,0)</f>
        <v>0</v>
      </c>
      <c r="H182" s="223" t="n">
        <f>IF(G182=1,(G181*E182),0)</f>
        <v>0</v>
      </c>
    </row>
    <row r="183" ht="14.002500000000003" customHeight="1">
      <c r="A183" s="212" t="n">
        <v>2</v>
      </c>
      <c r="B183" s="212" t="n">
        <v>500</v>
      </c>
      <c r="C183" s="212" t="s">
        <v>202</v>
      </c>
      <c r="D183" s="212" t="n">
        <v>1000</v>
      </c>
      <c r="E183" s="265" t="n">
        <v>0.0016</v>
      </c>
      <c r="F183" s="264" t="n">
        <f>F182+(D183-B183)*E183</f>
        <v>1.8</v>
      </c>
      <c r="G183" s="228" t="n">
        <f>IF(AND($G$181&lt;=D183,$G$181&gt;B183),1,0)</f>
        <v>0</v>
      </c>
      <c r="H183" s="223" t="n">
        <f>IF(G183=1,(F182+($G$181-D182)*E183),0)</f>
        <v>0</v>
      </c>
    </row>
    <row r="184" ht="14.002500000000003" customHeight="1">
      <c r="A184" s="212" t="n">
        <v>3</v>
      </c>
      <c r="B184" s="212" t="n">
        <v>1000</v>
      </c>
      <c r="C184" s="212" t="s">
        <v>202</v>
      </c>
      <c r="D184" s="212" t="n">
        <v>5000</v>
      </c>
      <c r="E184" s="265" t="n">
        <v>0.0012</v>
      </c>
      <c r="F184" s="264" t="n">
        <f>F183+(D184-B184)*E184</f>
        <v>6.6</v>
      </c>
      <c r="G184" s="228" t="n">
        <f>IF(AND($G$181&lt;=D184,$G$181&gt;B184),1,0)</f>
        <v>1</v>
      </c>
      <c r="H184" s="223" t="n">
        <f>IF(G184=1,(F183+($G$181-D183)*E184),0)</f>
        <v>5.391456</v>
      </c>
    </row>
    <row r="185" ht="14.002500000000003" customHeight="1">
      <c r="A185" s="212" t="n">
        <v>4</v>
      </c>
      <c r="B185" s="212" t="n">
        <v>5000</v>
      </c>
      <c r="C185" s="212" t="s">
        <v>209</v>
      </c>
      <c r="D185" s="229"/>
      <c r="E185" s="265" t="n">
        <v>0.001</v>
      </c>
      <c r="F185" s="264"/>
      <c r="G185" s="228" t="n">
        <f>IF(AND($G$181&gt;B185),1,0)</f>
        <v>0</v>
      </c>
      <c r="H185" s="223" t="n">
        <f>IF(G185=1,(F184+($G$181-B185)*E185),0)</f>
        <v>0</v>
      </c>
    </row>
    <row r="188" ht="14.002500000000003" customHeight="1">
      <c r="A188" s="382" t="s">
        <f>'工程建设其他费细则说明'!B27</f>
        <v>159</v>
      </c>
      <c r="B188" s="382"/>
      <c r="C188" s="382"/>
      <c r="D188" s="382"/>
      <c r="E188" s="382"/>
      <c r="F188" s="382"/>
      <c r="G188" s="382"/>
    </row>
    <row r="189" ht="16.5" customHeight="1">
      <c r="A189" s="359" t="s">
        <v>5</v>
      </c>
      <c r="B189" s="362" t="s">
        <v>241</v>
      </c>
      <c r="C189" s="363"/>
      <c r="D189" s="364"/>
      <c r="E189" s="359" t="s">
        <v>198</v>
      </c>
      <c r="F189" s="222" t="s">
        <v>233</v>
      </c>
      <c r="G189" s="225" t="s">
        <v>200</v>
      </c>
      <c r="H189" s="208"/>
    </row>
    <row r="190" ht="14.002500000000003" customHeight="1">
      <c r="A190" s="360"/>
      <c r="B190" s="365"/>
      <c r="C190" s="366"/>
      <c r="D190" s="367"/>
      <c r="E190" s="360"/>
      <c r="F190" s="227" t="n">
        <f>C2</f>
        <v>3992.88</v>
      </c>
      <c r="G190" s="222" t="n">
        <f>SUM(G191:G212)</f>
        <v>30</v>
      </c>
      <c r="H190" s="208"/>
    </row>
    <row r="191" ht="14.002500000000003" customHeight="1">
      <c r="A191" s="212" t="n">
        <v>1</v>
      </c>
      <c r="B191" s="212"/>
      <c r="C191" s="212" t="s">
        <v>209</v>
      </c>
      <c r="D191" s="212" t="n">
        <v>5000</v>
      </c>
      <c r="E191" s="212" t="n">
        <v>30</v>
      </c>
      <c r="F191" s="228" t="n">
        <f>IF(F190&lt;=D191,1,0)</f>
        <v>1</v>
      </c>
      <c r="G191" s="212" t="n">
        <f>IF(AND(F191=1,F190&gt;1),E191,0)</f>
        <v>30</v>
      </c>
      <c r="H191" s="208"/>
    </row>
    <row r="192" ht="14.002500000000003" customHeight="1">
      <c r="A192" s="212" t="n">
        <v>2</v>
      </c>
      <c r="B192" s="212" t="n">
        <v>5000</v>
      </c>
      <c r="C192" s="212" t="s">
        <v>202</v>
      </c>
      <c r="D192" s="212" t="n">
        <v>10000</v>
      </c>
      <c r="E192" s="212" t="n">
        <v>52</v>
      </c>
      <c r="F192" s="228" t="n">
        <f>IF(AND($F$190&lt;=D192,$F$190&gt;B192),1,)</f>
        <v>0</v>
      </c>
      <c r="G192" s="212" t="n">
        <f>IF(F192=1,(E191+(E192-E191)/(D192-B192)*($F$190-B192)),0)</f>
        <v>0</v>
      </c>
      <c r="H192" s="208"/>
    </row>
    <row r="193" ht="14.002500000000003" customHeight="1">
      <c r="A193" s="212" t="n">
        <v>3</v>
      </c>
      <c r="B193" s="212" t="n">
        <v>10000</v>
      </c>
      <c r="C193" s="212" t="s">
        <v>202</v>
      </c>
      <c r="D193" s="212" t="n">
        <v>20000</v>
      </c>
      <c r="E193" s="212" t="n">
        <v>72</v>
      </c>
      <c r="F193" s="228" t="n">
        <f>IF(AND($F$190&lt;=D193,$F$190&gt;B193),1,)</f>
        <v>0</v>
      </c>
      <c r="G193" s="212" t="n">
        <f>IF(F193=1,(E192+(E193-E192)/(D193-B193)*($F$190-B193)),0)</f>
        <v>0</v>
      </c>
      <c r="H193" s="208"/>
    </row>
    <row r="194" ht="14.002500000000003" customHeight="1">
      <c r="A194" s="212" t="n">
        <v>4</v>
      </c>
      <c r="B194" s="212" t="n">
        <v>20000</v>
      </c>
      <c r="C194" s="212" t="s">
        <v>202</v>
      </c>
      <c r="D194" s="212" t="n">
        <v>30000</v>
      </c>
      <c r="E194" s="212" t="n">
        <v>82</v>
      </c>
      <c r="F194" s="228" t="n">
        <f>IF(AND($F$190&lt;=D194,$F$190&gt;B194),1,)</f>
        <v>0</v>
      </c>
      <c r="G194" s="212" t="n">
        <f>IF(F194=1,(E193+(E194-E193)/(D194-B194)*($F$190-B194)),0)</f>
        <v>0</v>
      </c>
      <c r="H194" s="208"/>
    </row>
    <row r="195" ht="14.002500000000003" customHeight="1">
      <c r="A195" s="212" t="n">
        <v>5</v>
      </c>
      <c r="B195" s="212" t="n">
        <v>30000</v>
      </c>
      <c r="C195" s="212" t="s">
        <v>202</v>
      </c>
      <c r="D195" s="212" t="n">
        <v>40000</v>
      </c>
      <c r="E195" s="212" t="n">
        <v>95</v>
      </c>
      <c r="F195" s="228" t="n">
        <f>IF(AND($F$190&lt;=D195,$F$190&gt;B195),1,)</f>
        <v>0</v>
      </c>
      <c r="G195" s="212" t="n">
        <f>IF(F195=1,(E194+(E195-E194)/(D195-B195)*($F$190-B195)),0)</f>
        <v>0</v>
      </c>
      <c r="H195" s="208"/>
    </row>
    <row r="196" ht="14.002500000000003" customHeight="1">
      <c r="A196" s="212" t="n">
        <v>6</v>
      </c>
      <c r="B196" s="212" t="n">
        <v>40000</v>
      </c>
      <c r="C196" s="212" t="s">
        <v>202</v>
      </c>
      <c r="D196" s="212" t="n">
        <v>50000</v>
      </c>
      <c r="E196" s="212" t="n">
        <v>104</v>
      </c>
      <c r="F196" s="228" t="n">
        <f>IF(AND($F$190&lt;=D196,$F$190&gt;B196),1,)</f>
        <v>0</v>
      </c>
      <c r="G196" s="212" t="n">
        <f>IF(F196=1,(E195+(E196-E195)/(D196-B196)*($F$190-B196)),0)</f>
        <v>0</v>
      </c>
      <c r="H196" s="208"/>
    </row>
    <row r="197" ht="14.002500000000003" customHeight="1">
      <c r="A197" s="212" t="n">
        <v>7</v>
      </c>
      <c r="B197" s="212" t="n">
        <v>50000</v>
      </c>
      <c r="C197" s="212" t="s">
        <v>202</v>
      </c>
      <c r="D197" s="212" t="n">
        <v>60000</v>
      </c>
      <c r="E197" s="212" t="n">
        <v>116</v>
      </c>
      <c r="F197" s="228" t="n">
        <f>IF(AND($F$190&lt;=D197,$F$190&gt;B197),1,)</f>
        <v>0</v>
      </c>
      <c r="G197" s="212" t="n">
        <f>IF(F197=1,(E196+(E197-E196)/(D197-B197)*($F$190-B197)),0)</f>
        <v>0</v>
      </c>
      <c r="H197" s="208"/>
    </row>
    <row r="198" ht="14.002500000000003" customHeight="1">
      <c r="A198" s="212" t="n">
        <v>8</v>
      </c>
      <c r="B198" s="212" t="n">
        <v>60000</v>
      </c>
      <c r="C198" s="212" t="s">
        <v>202</v>
      </c>
      <c r="D198" s="212" t="n">
        <v>70000</v>
      </c>
      <c r="E198" s="212" t="n">
        <v>119</v>
      </c>
      <c r="F198" s="228" t="n">
        <f>IF(AND($F$190&lt;=D198,$F$190&gt;B198),1,)</f>
        <v>0</v>
      </c>
      <c r="G198" s="212" t="n">
        <f>IF(F198=1,(E197+(E198-E197)/(D198-B198)*($F$190-B198)),0)</f>
        <v>0</v>
      </c>
      <c r="H198" s="208"/>
    </row>
    <row r="199" ht="14.002500000000003" customHeight="1">
      <c r="A199" s="212" t="n">
        <v>9</v>
      </c>
      <c r="B199" s="212" t="n">
        <v>70000</v>
      </c>
      <c r="C199" s="212" t="s">
        <v>202</v>
      </c>
      <c r="D199" s="212" t="n">
        <v>80000</v>
      </c>
      <c r="E199" s="212" t="n">
        <v>132</v>
      </c>
      <c r="F199" s="228" t="n">
        <f>IF(AND($F$190&lt;=D199,$F$190&gt;B199),1,)</f>
        <v>0</v>
      </c>
      <c r="G199" s="212" t="n">
        <f>IF(F199=1,(E198+(E199-E198)/(D199-B199)*($F$190-B199)),0)</f>
        <v>0</v>
      </c>
      <c r="H199" s="208"/>
    </row>
    <row r="200" ht="14.002500000000003" customHeight="1">
      <c r="A200" s="212" t="n">
        <v>10</v>
      </c>
      <c r="B200" s="212" t="n">
        <v>80000</v>
      </c>
      <c r="C200" s="212" t="s">
        <v>202</v>
      </c>
      <c r="D200" s="212" t="n">
        <v>90000</v>
      </c>
      <c r="E200" s="212" t="n">
        <v>156</v>
      </c>
      <c r="F200" s="228" t="n">
        <f>IF(AND($F$190&lt;=D200,$F$190&gt;B200),1,)</f>
        <v>0</v>
      </c>
      <c r="G200" s="212" t="n">
        <f>IF(F200=1,(E199+(E200-E199)/(D200-B200)*($F$190-B200)),0)</f>
        <v>0</v>
      </c>
      <c r="H200" s="208"/>
    </row>
    <row r="201" ht="14.002500000000003" customHeight="1">
      <c r="A201" s="212" t="n">
        <v>11</v>
      </c>
      <c r="B201" s="212" t="n">
        <v>90000</v>
      </c>
      <c r="C201" s="212" t="s">
        <v>202</v>
      </c>
      <c r="D201" s="212" t="n">
        <v>100000</v>
      </c>
      <c r="E201" s="212" t="n">
        <v>171</v>
      </c>
      <c r="F201" s="228" t="n">
        <f>IF(AND($F$190&lt;=D201,$F$190&gt;B201),1,)</f>
        <v>0</v>
      </c>
      <c r="G201" s="212" t="n">
        <f>IF(F201=1,(E200+(E201-E200)/(D201-B201)*($F$190-B201)),0)</f>
        <v>0</v>
      </c>
      <c r="H201" s="208"/>
    </row>
    <row r="202" ht="14.002500000000003" customHeight="1">
      <c r="A202" s="212" t="n">
        <v>12</v>
      </c>
      <c r="B202" s="212" t="n">
        <v>100000</v>
      </c>
      <c r="C202" s="212" t="s">
        <v>202</v>
      </c>
      <c r="D202" s="212" t="n">
        <v>110000</v>
      </c>
      <c r="E202" s="212" t="n">
        <v>185</v>
      </c>
      <c r="F202" s="228" t="n">
        <f>IF(AND($F$190&lt;=D202,$F$190&gt;B202),1,)</f>
        <v>0</v>
      </c>
      <c r="G202" s="212" t="n">
        <f>IF(F202=1,(E201+(E202-E201)/(D202-B202)*($F$190-B202)),0)</f>
        <v>0</v>
      </c>
      <c r="H202" s="208"/>
    </row>
    <row r="203" ht="14.002500000000003" customHeight="1">
      <c r="A203" s="212" t="n">
        <v>13</v>
      </c>
      <c r="B203" s="212" t="n">
        <v>110000</v>
      </c>
      <c r="C203" s="212" t="s">
        <v>202</v>
      </c>
      <c r="D203" s="212" t="n">
        <v>120000</v>
      </c>
      <c r="E203" s="212" t="n">
        <v>200</v>
      </c>
      <c r="F203" s="228" t="n">
        <f>IF(AND($F$190&lt;=D203,$F$190&gt;B203),1,)</f>
        <v>0</v>
      </c>
      <c r="G203" s="212" t="n">
        <f>IF(F203=1,(E202+(E203-E202)/(D203-B203)*($F$190-B203)),0)</f>
        <v>0</v>
      </c>
      <c r="H203" s="208"/>
    </row>
    <row r="204" ht="14.002500000000003" customHeight="1">
      <c r="A204" s="212" t="n">
        <v>14</v>
      </c>
      <c r="B204" s="212" t="n">
        <v>120000</v>
      </c>
      <c r="C204" s="212" t="s">
        <v>202</v>
      </c>
      <c r="D204" s="212" t="n">
        <v>130000</v>
      </c>
      <c r="E204" s="212" t="n">
        <v>220</v>
      </c>
      <c r="F204" s="228" t="n">
        <f>IF(AND($F$190&lt;=D204,$F$190&gt;B204),1,)</f>
        <v>0</v>
      </c>
      <c r="G204" s="212" t="n">
        <f>IF(F204=1,(E203+(E204-E203)/(D204-B204)*($F$190-B204)),0)</f>
        <v>0</v>
      </c>
      <c r="H204" s="208"/>
    </row>
    <row r="205" ht="14.002500000000003" customHeight="1">
      <c r="A205" s="212" t="n">
        <v>15</v>
      </c>
      <c r="B205" s="212" t="n">
        <v>130000</v>
      </c>
      <c r="C205" s="212" t="s">
        <v>202</v>
      </c>
      <c r="D205" s="212" t="n">
        <v>140000</v>
      </c>
      <c r="E205" s="212" t="n">
        <v>230</v>
      </c>
      <c r="F205" s="228" t="n">
        <f>IF(AND($F$190&lt;=D205,$F$190&gt;B205),1,)</f>
        <v>0</v>
      </c>
      <c r="G205" s="212" t="n">
        <f>IF(F205=1,(E204+(E205-E204)/(D205-B205)*($F$190-B205)),0)</f>
        <v>0</v>
      </c>
      <c r="H205" s="208"/>
    </row>
    <row r="206" ht="14.002500000000003" customHeight="1">
      <c r="A206" s="212" t="n">
        <v>16</v>
      </c>
      <c r="B206" s="212" t="n">
        <v>140000</v>
      </c>
      <c r="C206" s="212" t="s">
        <v>202</v>
      </c>
      <c r="D206" s="212" t="n">
        <v>150000</v>
      </c>
      <c r="E206" s="212" t="n">
        <v>245</v>
      </c>
      <c r="F206" s="228" t="n">
        <f>IF(AND($F$190&lt;=D206,$F$190&gt;B206),1,)</f>
        <v>0</v>
      </c>
      <c r="G206" s="212" t="n">
        <f>IF(F206=1,(E205+(E206-E205)/(D206-B206)*($F$190-B206)),0)</f>
        <v>0</v>
      </c>
      <c r="H206" s="208"/>
    </row>
    <row r="207" ht="14.002500000000003" customHeight="1">
      <c r="A207" s="212" t="n">
        <v>17</v>
      </c>
      <c r="B207" s="212" t="n">
        <v>150000</v>
      </c>
      <c r="C207" s="212" t="s">
        <v>202</v>
      </c>
      <c r="D207" s="212" t="n">
        <v>160000</v>
      </c>
      <c r="E207" s="212" t="n">
        <v>259</v>
      </c>
      <c r="F207" s="228" t="n">
        <f>IF(AND($F$190&lt;=D207,$F$190&gt;B207),1,)</f>
        <v>0</v>
      </c>
      <c r="G207" s="212" t="n">
        <f>IF(F207=1,(E206+(E207-E206)/(D207-B207)*($F$190-B207)),0)</f>
        <v>0</v>
      </c>
      <c r="H207" s="208"/>
    </row>
    <row r="208" ht="14.002500000000003" customHeight="1">
      <c r="A208" s="212" t="n">
        <v>18</v>
      </c>
      <c r="B208" s="212" t="n">
        <v>160000</v>
      </c>
      <c r="C208" s="212" t="s">
        <v>202</v>
      </c>
      <c r="D208" s="212" t="n">
        <v>170000</v>
      </c>
      <c r="E208" s="212" t="n">
        <v>270</v>
      </c>
      <c r="F208" s="228" t="n">
        <f>IF(AND($F$190&lt;=D208,$F$190&gt;B208),1,)</f>
        <v>0</v>
      </c>
      <c r="G208" s="212" t="n">
        <f>IF(F208=1,(E207+(E208-E207)/(D208-B208)*($F$190-B208)),0)</f>
        <v>0</v>
      </c>
      <c r="H208" s="208"/>
    </row>
    <row r="209" ht="14.002500000000003" customHeight="1">
      <c r="A209" s="212" t="n">
        <v>19</v>
      </c>
      <c r="B209" s="212" t="n">
        <v>170000</v>
      </c>
      <c r="C209" s="212" t="s">
        <v>202</v>
      </c>
      <c r="D209" s="212" t="n">
        <v>180000</v>
      </c>
      <c r="E209" s="212" t="n">
        <v>290</v>
      </c>
      <c r="F209" s="228" t="n">
        <f>IF(AND($F$190&lt;=D209,$F$190&gt;B209),1,)</f>
        <v>0</v>
      </c>
      <c r="G209" s="212" t="n">
        <f>IF(F209=1,(E208+(E209-E208)/(D209-B209)*($F$190-B209)),0)</f>
        <v>0</v>
      </c>
      <c r="H209" s="208"/>
    </row>
    <row r="210" ht="14.002500000000003" customHeight="1">
      <c r="A210" s="212" t="n">
        <v>20</v>
      </c>
      <c r="B210" s="212" t="n">
        <v>180000</v>
      </c>
      <c r="C210" s="212" t="s">
        <v>202</v>
      </c>
      <c r="D210" s="212" t="n">
        <v>190000</v>
      </c>
      <c r="E210" s="212" t="n">
        <v>320</v>
      </c>
      <c r="F210" s="228" t="n">
        <f>IF(AND($F$190&lt;=D210,$F$190&gt;B210),1,)</f>
        <v>0</v>
      </c>
      <c r="G210" s="212" t="n">
        <f>IF(F210=1,(E209+(E210-E209)/(D210-B210)*($F$190-B210)),0)</f>
        <v>0</v>
      </c>
      <c r="H210" s="208"/>
    </row>
    <row r="211" ht="14.002500000000003" customHeight="1">
      <c r="A211" s="212" t="n">
        <v>21</v>
      </c>
      <c r="B211" s="212" t="n">
        <v>190000</v>
      </c>
      <c r="C211" s="212" t="s">
        <v>202</v>
      </c>
      <c r="D211" s="212" t="n">
        <v>200000</v>
      </c>
      <c r="E211" s="212" t="n">
        <v>350</v>
      </c>
      <c r="F211" s="228" t="n">
        <f>IF(AND($F$190&lt;=D211,$F$190&gt;B211),1,)</f>
        <v>0</v>
      </c>
      <c r="G211" s="212" t="n">
        <f>IF(F211=1,(E210+(E211-E210)/(D211-B211)*($F$190-B211)),0)</f>
        <v>0</v>
      </c>
      <c r="H211" s="208"/>
    </row>
    <row r="212" ht="14.002500000000003" customHeight="1">
      <c r="A212" s="212" t="n">
        <v>22</v>
      </c>
      <c r="B212" s="212" t="n">
        <v>200000</v>
      </c>
      <c r="C212" s="212" t="s">
        <v>209</v>
      </c>
      <c r="D212" s="212"/>
      <c r="E212" s="229"/>
      <c r="F212" s="228" t="n">
        <f>IF(F190&gt;B212,1,0)</f>
        <v>0</v>
      </c>
      <c r="G212" s="212" t="n">
        <f>IF(F212=1,E211/B212*F190,0)</f>
        <v>0</v>
      </c>
      <c r="H212" s="208"/>
    </row>
    <row r="213" ht="14.002500000000003" customHeight="1">
      <c r="A213" s="379" t="s">
        <v>242</v>
      </c>
      <c r="B213" s="380"/>
      <c r="C213" s="380"/>
      <c r="D213" s="380"/>
      <c r="E213" s="380"/>
      <c r="F213" s="380"/>
      <c r="G213" s="381"/>
    </row>
    <row r="216" ht="14.002500000000003" customHeight="1">
      <c r="A216" s="382" t="s">
        <v>243</v>
      </c>
      <c r="B216" s="382"/>
      <c r="C216" s="382"/>
      <c r="D216" s="382"/>
      <c r="E216" s="382"/>
      <c r="F216" s="382"/>
      <c r="G216" s="382"/>
      <c r="H216" s="382"/>
    </row>
    <row r="217" ht="16.5" customHeight="1">
      <c r="A217" s="359" t="s">
        <v>5</v>
      </c>
      <c r="B217" s="362" t="s">
        <v>244</v>
      </c>
      <c r="C217" s="363"/>
      <c r="D217" s="364"/>
      <c r="E217" s="359" t="s">
        <v>198</v>
      </c>
      <c r="F217" s="359" t="s">
        <v>235</v>
      </c>
      <c r="G217" s="222" t="s">
        <v>233</v>
      </c>
      <c r="H217" s="225" t="s">
        <v>200</v>
      </c>
    </row>
    <row r="218" ht="14.002500000000003" customHeight="1">
      <c r="A218" s="360"/>
      <c r="B218" s="365"/>
      <c r="C218" s="366"/>
      <c r="D218" s="367"/>
      <c r="E218" s="360"/>
      <c r="F218" s="360"/>
      <c r="G218" s="227" t="n">
        <f>C2</f>
        <v>3992.88</v>
      </c>
      <c r="H218" s="222" t="n">
        <f>SUM(H219:H222)</f>
        <v>6</v>
      </c>
    </row>
    <row r="219" ht="14.002500000000003" customHeight="1">
      <c r="A219" s="212" t="n">
        <v>1</v>
      </c>
      <c r="B219" s="212"/>
      <c r="C219" s="212" t="s">
        <v>209</v>
      </c>
      <c r="D219" s="212" t="n">
        <v>10000</v>
      </c>
      <c r="E219" s="212" t="n">
        <v>6</v>
      </c>
      <c r="F219" s="212"/>
      <c r="G219" s="228" t="n">
        <f>IF(G218&lt;=D219,1,0)</f>
        <v>1</v>
      </c>
      <c r="H219" s="212" t="n">
        <f>IF(AND(G219=1,G218&gt;0),E219,0)</f>
        <v>6</v>
      </c>
    </row>
    <row r="220" ht="14.002500000000003" customHeight="1">
      <c r="A220" s="212" t="n">
        <v>2</v>
      </c>
      <c r="B220" s="212" t="n">
        <v>10000</v>
      </c>
      <c r="C220" s="212" t="s">
        <v>202</v>
      </c>
      <c r="D220" s="212" t="n">
        <v>50000</v>
      </c>
      <c r="E220" s="212" t="n">
        <v>13</v>
      </c>
      <c r="F220" s="266" t="n">
        <v>0.000175</v>
      </c>
      <c r="G220" s="228" t="n">
        <f>IF(AND(G$218&lt;=D220,G$218&gt;B220),1,0)</f>
        <v>0</v>
      </c>
      <c r="H220" s="212" t="n">
        <f>IF(G220=1,(E219+($G$218-B220)*F220),0)</f>
        <v>0</v>
      </c>
    </row>
    <row r="221" ht="14.002500000000003" customHeight="1">
      <c r="A221" s="212" t="n">
        <v>3</v>
      </c>
      <c r="B221" s="212" t="n">
        <v>50000</v>
      </c>
      <c r="C221" s="212" t="s">
        <v>202</v>
      </c>
      <c r="D221" s="212" t="n">
        <v>100000</v>
      </c>
      <c r="E221" s="212" t="n">
        <v>20</v>
      </c>
      <c r="F221" s="267" t="n">
        <v>0.00014</v>
      </c>
      <c r="G221" s="228" t="n">
        <f>IF(AND(G$218&lt;=D221,G$218&gt;B221),1,0)</f>
        <v>0</v>
      </c>
      <c r="H221" s="212" t="n">
        <f>IF(G221=1,(E220+($G$218-B221)*F221),0)</f>
        <v>0</v>
      </c>
    </row>
    <row r="222" ht="14.002500000000003" customHeight="1">
      <c r="A222" s="212" t="n">
        <v>4</v>
      </c>
      <c r="B222" s="212" t="n">
        <v>100000</v>
      </c>
      <c r="C222" s="212" t="s">
        <v>209</v>
      </c>
      <c r="D222" s="212"/>
      <c r="E222" s="212"/>
      <c r="F222" s="212"/>
      <c r="G222" s="228" t="n">
        <f>IF(G218&gt;B222,1,0)</f>
        <v>0</v>
      </c>
      <c r="H222" s="212" t="n">
        <f>IF(G222=1,E221,0)</f>
        <v>0</v>
      </c>
    </row>
    <row r="223" ht="14.002500000000003" customHeight="1">
      <c r="A223" s="383" t="s">
        <v>245</v>
      </c>
      <c r="B223" s="383"/>
      <c r="C223" s="383"/>
      <c r="D223" s="383"/>
      <c r="E223" s="383"/>
      <c r="F223" s="383"/>
      <c r="G223" s="383"/>
      <c r="H223" s="383"/>
    </row>
  </sheetData>
  <sheetProtection selectLockedCells="1"/>
  <protectedRanges>
    <protectedRange sqref="A9:L29" name="区域1"/>
  </protectedRanges>
  <mergeCells count="105">
    <mergeCell ref="A74:A75"/>
    <mergeCell ref="B33:D34"/>
    <mergeCell ref="B86:D87"/>
    <mergeCell ref="K10:L10"/>
    <mergeCell ref="A189:A190"/>
    <mergeCell ref="M45:O45"/>
    <mergeCell ref="D57:F57"/>
    <mergeCell ref="A100:A101"/>
    <mergeCell ref="D45:F45"/>
    <mergeCell ref="E63:E64"/>
    <mergeCell ref="A188:G188"/>
    <mergeCell ref="I170:I175"/>
    <mergeCell ref="T41:U41"/>
    <mergeCell ref="A61:G61"/>
    <mergeCell ref="E74:E75"/>
    <mergeCell ref="M57:O57"/>
    <mergeCell ref="A85:G85"/>
    <mergeCell ref="E86:E87"/>
    <mergeCell ref="A86:A87"/>
    <mergeCell ref="A62:A64"/>
    <mergeCell ref="B74:D75"/>
    <mergeCell ref="P45:R45"/>
    <mergeCell ref="A213:G213"/>
    <mergeCell ref="A73:I73"/>
    <mergeCell ref="I10:J10"/>
    <mergeCell ref="T33:U33"/>
    <mergeCell ref="B217:D218"/>
    <mergeCell ref="B10:B11"/>
    <mergeCell ref="J46:L46"/>
    <mergeCell ref="A223:H223"/>
    <mergeCell ref="B181:D181"/>
    <mergeCell ref="N40:O40"/>
    <mergeCell ref="N32:O32"/>
    <mergeCell ref="T40:U40"/>
    <mergeCell ref="P40:Q40"/>
    <mergeCell ref="R40:S40"/>
    <mergeCell ref="J45:L45"/>
    <mergeCell ref="B112:D112"/>
    <mergeCell ref="A180:E180"/>
    <mergeCell ref="P33:Q33"/>
    <mergeCell ref="B62:D64"/>
    <mergeCell ref="E217:E218"/>
    <mergeCell ref="A57:C57"/>
    <mergeCell ref="I33:K33"/>
    <mergeCell ref="G9:H9"/>
    <mergeCell ref="M46:O46"/>
    <mergeCell ref="N42:O42"/>
    <mergeCell ref="A45:C46"/>
    <mergeCell ref="E9:F9"/>
    <mergeCell ref="A32:G32"/>
    <mergeCell ref="N41:O41"/>
    <mergeCell ref="J57:L57"/>
    <mergeCell ref="P32:Q32"/>
    <mergeCell ref="P42:Q42"/>
    <mergeCell ref="F62:F63"/>
    <mergeCell ref="A145:E145"/>
    <mergeCell ref="E189:E190"/>
    <mergeCell ref="L32:M32"/>
    <mergeCell ref="A107:J107"/>
    <mergeCell ref="T32:U32"/>
    <mergeCell ref="A168:E168"/>
    <mergeCell ref="I32:K32"/>
    <mergeCell ref="A111:F111"/>
    <mergeCell ref="A99:J99"/>
    <mergeCell ref="L33:M33"/>
    <mergeCell ref="R33:S33"/>
    <mergeCell ref="R42:S42"/>
    <mergeCell ref="A10:A11"/>
    <mergeCell ref="E100:E101"/>
    <mergeCell ref="R41:S41"/>
    <mergeCell ref="E33:E34"/>
    <mergeCell ref="E10:E11"/>
    <mergeCell ref="L41:M41"/>
    <mergeCell ref="G46:I46"/>
    <mergeCell ref="T42:U42"/>
    <mergeCell ref="G57:I57"/>
    <mergeCell ref="F10:F11"/>
    <mergeCell ref="R32:S32"/>
    <mergeCell ref="A44:R44"/>
    <mergeCell ref="A33:A34"/>
    <mergeCell ref="B100:D101"/>
    <mergeCell ref="P57:R57"/>
    <mergeCell ref="B189:D190"/>
    <mergeCell ref="V40:W40"/>
    <mergeCell ref="D10:D11"/>
    <mergeCell ref="P41:Q41"/>
    <mergeCell ref="A167:H167"/>
    <mergeCell ref="G45:I45"/>
    <mergeCell ref="A82:I82"/>
    <mergeCell ref="F217:F218"/>
    <mergeCell ref="N33:O33"/>
    <mergeCell ref="A179:H179"/>
    <mergeCell ref="P46:R46"/>
    <mergeCell ref="A216:H216"/>
    <mergeCell ref="L42:M42"/>
    <mergeCell ref="F100:F101"/>
    <mergeCell ref="B169:D169"/>
    <mergeCell ref="G10:H10"/>
    <mergeCell ref="L40:M40"/>
    <mergeCell ref="D46:F46"/>
    <mergeCell ref="A110:H110"/>
    <mergeCell ref="V39:W39"/>
    <mergeCell ref="A121:E121"/>
    <mergeCell ref="A217:A218"/>
    <mergeCell ref="C10:C11"/>
  </mergeCells>
  <phoneticPr fontId="1" type="noConversion"/>
  <dataValidations count="1">
    <dataValidation type="list" allowBlank="1" showInputMessage="1" showErrorMessage="1" sqref="B7:B8">
      <formula1>"南昌市,红谷滩区,南昌县"</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666015625" defaultRowHeight="14.002500000000003" customHeight="1"/>
  <cols>
    <col min="1" max="1" width="18.3310546875" customWidth="1" style="70"/>
    <col min="2" max="2" width="10.6640625" customWidth="1" style="70"/>
    <col min="3" max="3" width="24.83203125" customWidth="1" style="70"/>
    <col min="4" max="4" width="12.6650390625" customWidth="1" style="70"/>
    <col min="5" max="5" width="13.6640625" customWidth="1" style="70"/>
    <col min="6" max="6" width="13.3330078125" customWidth="1" style="70"/>
    <col min="7" max="7" width="12.6650390625" customWidth="1" style="70"/>
    <col min="8" max="8" width="12.9990234375" customWidth="1" style="70"/>
    <col min="9" max="9" width="9.6650390625" customWidth="1" style="70"/>
    <col min="10" max="10" width="10.3330078125" customWidth="1" style="70"/>
    <col min="11" max="11" width="13.8310546875" customWidth="1" style="70"/>
    <col min="12" max="12" width="15.9990234375" customWidth="1" style="70"/>
    <col min="13" max="13" width="15.83203125" customWidth="1" style="70"/>
    <col min="14" max="14" width="18.3310546875" customWidth="1" style="70"/>
    <col min="15" max="15" width="13.8310546875" customWidth="1" style="70"/>
    <col min="16" max="16" width="8.666015625" style="70"/>
    <col min="17" max="17" width="13.998046875" customWidth="1" style="70"/>
    <col min="18" max="18" width="12.83203125" customWidth="1" style="70"/>
    <col min="19" max="40" width="8.666015625" style="70"/>
  </cols>
  <sheetData>
    <row r="1" ht="14.002500000000003" customHeight="1">
      <c r="B1" s="341" t="s">
        <v>246</v>
      </c>
      <c r="C1" s="183" t="n">
        <v>45108.9</v>
      </c>
      <c r="D1" s="341" t="s">
        <v>247</v>
      </c>
      <c r="F1" s="184" t="s">
        <v>248</v>
      </c>
      <c r="G1" s="184" t="s">
        <v>249</v>
      </c>
      <c r="H1" s="184" t="s">
        <v>250</v>
      </c>
      <c r="J1" s="202"/>
      <c r="K1" s="203" t="s">
        <v>251</v>
      </c>
    </row>
    <row r="2" ht="14.002500000000003" customHeight="1">
      <c r="B2" s="341" t="s">
        <v>252</v>
      </c>
      <c r="C2" s="183" t="n">
        <v>45900</v>
      </c>
      <c r="D2" s="341" t="n">
        <v>12</v>
      </c>
      <c r="F2" s="185" t="s">
        <v>253</v>
      </c>
      <c r="G2" s="100" t="n">
        <f>G4-G3</f>
        <v>2800</v>
      </c>
      <c r="H2" s="186" t="n">
        <f>G2/$G$4</f>
        <v>0.56</v>
      </c>
      <c r="J2" s="204"/>
      <c r="K2" s="205" t="s">
        <v>254</v>
      </c>
    </row>
    <row r="3" ht="14.002500000000003" customHeight="1">
      <c r="B3" s="187" t="s">
        <v>255</v>
      </c>
      <c r="C3" s="187" t="s">
        <v>256</v>
      </c>
      <c r="D3" s="187" t="s">
        <v>257</v>
      </c>
      <c r="F3" s="341" t="s">
        <v>258</v>
      </c>
      <c r="G3" s="100" t="n">
        <f>'资金平衡表'!C36</f>
        <v>2200</v>
      </c>
      <c r="H3" s="186" t="n">
        <f>G3/$G$4</f>
        <v>0.44</v>
      </c>
      <c r="J3" s="205"/>
      <c r="K3" s="205"/>
    </row>
    <row r="4" ht="14.002500000000003" customHeight="1">
      <c r="B4" s="341" t="s">
        <v>259</v>
      </c>
      <c r="C4" s="188" t="n">
        <f>C1</f>
        <v>45108.9</v>
      </c>
      <c r="D4" s="188" t="n">
        <f>EOMONTH(C4,11)</f>
        <v>45473</v>
      </c>
      <c r="F4" s="341" t="s">
        <v>84</v>
      </c>
      <c r="G4" s="100" t="n">
        <f>'总投资估算'!G55</f>
        <v>5000</v>
      </c>
      <c r="H4" s="186" t="n">
        <f>G4/$G$4</f>
        <v>1</v>
      </c>
      <c r="J4" s="205"/>
      <c r="K4" s="205"/>
    </row>
    <row r="5" ht="14.002500000000003" customHeight="1">
      <c r="B5" s="341" t="s">
        <v>260</v>
      </c>
      <c r="C5" s="188" t="n">
        <f>EOMONTH(D4,1)</f>
        <v>45504</v>
      </c>
      <c r="D5" s="188" t="n">
        <f>EOMONTH(C5,11)</f>
        <v>45838</v>
      </c>
    </row>
    <row r="6" ht="14.002500000000003" customHeight="1">
      <c r="B6" s="341" t="s">
        <v>261</v>
      </c>
      <c r="C6" s="188" t="n">
        <f>EOMONTH(D5,1)</f>
        <v>45869</v>
      </c>
      <c r="D6" s="188" t="n">
        <f>C2</f>
        <v>45900</v>
      </c>
    </row>
    <row r="7" ht="15" customHeight="1">
      <c r="B7" s="189"/>
    </row>
    <row r="8" ht="14.002500000000003" customHeight="1">
      <c r="B8" s="410" t="s">
        <v>262</v>
      </c>
      <c r="C8" s="410"/>
      <c r="D8" s="410"/>
      <c r="E8" s="410"/>
      <c r="F8" s="410"/>
      <c r="G8" s="410"/>
      <c r="H8" s="410"/>
    </row>
    <row r="9" ht="14.002500000000003" customHeight="1">
      <c r="B9" s="414" t="s">
        <v>5</v>
      </c>
      <c r="C9" s="414" t="s">
        <v>263</v>
      </c>
      <c r="D9" s="414" t="s">
        <v>195</v>
      </c>
      <c r="E9" s="411" t="s">
        <v>264</v>
      </c>
      <c r="F9" s="412"/>
      <c r="G9" s="412"/>
      <c r="H9" s="413"/>
      <c r="I9" s="70" t="s">
        <v>265</v>
      </c>
    </row>
    <row r="10" ht="14.002500000000003" customHeight="1">
      <c r="B10" s="414"/>
      <c r="C10" s="414"/>
      <c r="D10" s="414"/>
      <c r="E10" s="190" t="n">
        <v>2024</v>
      </c>
      <c r="F10" s="190" t="n">
        <f>E10+1</f>
        <v>2025</v>
      </c>
      <c r="G10" s="190" t="n">
        <f>F10+1</f>
        <v>2026</v>
      </c>
      <c r="H10" s="190" t="n">
        <f>G10+1</f>
        <v>2027</v>
      </c>
    </row>
    <row r="11" ht="14.002500000000003" customHeight="1">
      <c r="B11" s="191" t="s">
        <v>35</v>
      </c>
      <c r="C11" s="192" t="s">
        <v>266</v>
      </c>
      <c r="D11" s="192"/>
      <c r="E11" s="193"/>
      <c r="F11" s="193"/>
      <c r="G11" s="193"/>
      <c r="H11" s="193"/>
    </row>
    <row r="12" ht="14.002500000000003" customHeight="1">
      <c r="B12" s="194" t="n">
        <v>1</v>
      </c>
      <c r="C12" s="195" t="s">
        <v>267</v>
      </c>
      <c r="D12" s="196" t="n">
        <f>SUM(E12:H12)</f>
        <v>1</v>
      </c>
      <c r="E12" s="197" t="n">
        <v>0.9</v>
      </c>
      <c r="F12" s="197" t="n">
        <v>0.1</v>
      </c>
      <c r="G12" s="197" t="n">
        <f>1-F12-E12</f>
        <v>0</v>
      </c>
      <c r="H12" s="197" t="n">
        <v>0</v>
      </c>
      <c r="I12" s="206" t="n">
        <f>SUM(E12:H12)</f>
        <v>1</v>
      </c>
      <c r="M12" s="207"/>
    </row>
    <row r="13" ht="14.002500000000003" customHeight="1">
      <c r="B13" s="194" t="n">
        <v>2</v>
      </c>
      <c r="C13" s="195" t="s">
        <v>268</v>
      </c>
      <c r="D13" s="196" t="n">
        <f>SUM(E13:H13)</f>
        <v>1</v>
      </c>
      <c r="E13" s="197" t="n">
        <v>0.9</v>
      </c>
      <c r="F13" s="197" t="n">
        <v>0.1</v>
      </c>
      <c r="G13" s="197" t="n">
        <f>1-F13-E13</f>
        <v>0</v>
      </c>
      <c r="H13" s="197" t="n">
        <v>0</v>
      </c>
      <c r="I13" s="206" t="n">
        <f>SUM(E13:H13)</f>
        <v>1</v>
      </c>
    </row>
    <row r="14" ht="14.002500000000003" customHeight="1">
      <c r="B14" s="194" t="n">
        <v>3</v>
      </c>
      <c r="C14" s="195" t="s">
        <v>269</v>
      </c>
      <c r="D14" s="196" t="n">
        <f>SUM(E14:H14)</f>
        <v>1</v>
      </c>
      <c r="E14" s="197" t="n">
        <v>1</v>
      </c>
      <c r="F14" s="197" t="n">
        <v>0</v>
      </c>
      <c r="G14" s="197" t="n">
        <f>1-F14-E14</f>
        <v>0</v>
      </c>
      <c r="H14" s="197" t="n">
        <v>0</v>
      </c>
      <c r="I14" s="206" t="n">
        <f>SUM(E14:H14)</f>
        <v>1</v>
      </c>
    </row>
    <row r="15" ht="14.002500000000003" customHeight="1">
      <c r="B15" s="192" t="s">
        <v>35</v>
      </c>
      <c r="C15" s="192" t="s">
        <v>84</v>
      </c>
      <c r="D15" s="198" t="n">
        <f>D16+D20</f>
        <v>5000</v>
      </c>
      <c r="E15" s="198" t="n">
        <f>E16+E20</f>
        <v>4509.9</v>
      </c>
      <c r="F15" s="198" t="n">
        <f>F16+F20</f>
        <v>490.1</v>
      </c>
      <c r="G15" s="198" t="n">
        <f>G16+G20</f>
        <v>0</v>
      </c>
      <c r="H15" s="198" t="n">
        <f>H16+H20</f>
        <v>0</v>
      </c>
      <c r="I15" s="207" t="n">
        <f>SUM(E15:H15)</f>
        <v>5000</v>
      </c>
      <c r="J15" s="70" t="n">
        <f>I15-D15</f>
        <v>0</v>
      </c>
    </row>
    <row r="16" ht="14.002500000000003" customHeight="1">
      <c r="B16" s="199" t="n">
        <v>1</v>
      </c>
      <c r="C16" s="195" t="s">
        <v>270</v>
      </c>
      <c r="D16" s="200" t="n">
        <f>SUM(E16:H16)</f>
        <v>4901</v>
      </c>
      <c r="E16" s="200" t="n">
        <f>E17+E18+E19</f>
        <v>4410.9</v>
      </c>
      <c r="F16" s="200" t="n">
        <f>F17+F18+F19</f>
        <v>490.1</v>
      </c>
      <c r="G16" s="200" t="n">
        <f>G17+G18+G19</f>
        <v>0</v>
      </c>
      <c r="H16" s="200" t="n">
        <f>H17+H18+H19</f>
        <v>0</v>
      </c>
      <c r="I16" s="207" t="n">
        <f>SUM(E16:H16)</f>
        <v>4901</v>
      </c>
      <c r="J16" s="70" t="n">
        <f>I16-D16</f>
        <v>0</v>
      </c>
    </row>
    <row r="17" ht="14.002500000000003" customHeight="1">
      <c r="B17" s="199" t="n">
        <v>1.1</v>
      </c>
      <c r="C17" s="195" t="s">
        <v>86</v>
      </c>
      <c r="D17" s="200" t="n">
        <f>'总投资估算'!G3</f>
        <v>3992.88</v>
      </c>
      <c r="E17" s="200" t="n">
        <f>ROUND($D$17*E12,2)</f>
        <v>3593.59</v>
      </c>
      <c r="F17" s="200" t="n">
        <f>ROUND($D$17*F12,2)</f>
        <v>399.29</v>
      </c>
      <c r="G17" s="200" t="n">
        <f>ROUND($D$17*G12,2)</f>
        <v>0</v>
      </c>
      <c r="H17" s="200" t="n">
        <f>ROUND($D$17*H12,2)</f>
        <v>0</v>
      </c>
      <c r="I17" s="207" t="n">
        <f>SUM(E17:H17)</f>
        <v>3992.88</v>
      </c>
      <c r="J17" s="70" t="n">
        <f>I17-D17</f>
        <v>0</v>
      </c>
    </row>
    <row r="18" ht="14.002500000000003" customHeight="1">
      <c r="B18" s="199" t="n">
        <v>1.2</v>
      </c>
      <c r="C18" s="195" t="s">
        <v>271</v>
      </c>
      <c r="D18" s="200" t="n">
        <f>'总投资估算'!G31</f>
        <v>559.82</v>
      </c>
      <c r="E18" s="200" t="n">
        <f>ROUND($D$18*E13,2)</f>
        <v>503.84</v>
      </c>
      <c r="F18" s="200" t="n">
        <f>ROUND($D$18*F13,2)</f>
        <v>55.98</v>
      </c>
      <c r="G18" s="200" t="n">
        <f>ROUND($D$18*G13,2)</f>
        <v>0</v>
      </c>
      <c r="H18" s="200" t="n">
        <f>ROUND($D$18*H13,2)</f>
        <v>0</v>
      </c>
      <c r="I18" s="207" t="n">
        <f>SUM(E18:H18)</f>
        <v>559.82</v>
      </c>
      <c r="J18" s="70" t="n">
        <f>I18-D18</f>
        <v>0</v>
      </c>
    </row>
    <row r="19" ht="14.002500000000003" customHeight="1">
      <c r="B19" s="199" t="n">
        <v>1.3</v>
      </c>
      <c r="C19" s="195" t="s">
        <v>92</v>
      </c>
      <c r="D19" s="200" t="n">
        <f>'总投资估算'!G50</f>
        <v>348.3</v>
      </c>
      <c r="E19" s="200" t="n">
        <f>ROUND($D$19*E12,2)</f>
        <v>313.47</v>
      </c>
      <c r="F19" s="200" t="n">
        <f>ROUND($D$19*F12,2)</f>
        <v>34.83</v>
      </c>
      <c r="G19" s="200" t="n">
        <f>ROUND($D$19*G12,2)</f>
        <v>0</v>
      </c>
      <c r="H19" s="200" t="n">
        <f>ROUND($D$19*H12,2)</f>
        <v>0</v>
      </c>
      <c r="I19" s="207" t="n">
        <f>SUM(E19:H19)</f>
        <v>348.3</v>
      </c>
      <c r="J19" s="70" t="n">
        <f>I19-D19</f>
        <v>0</v>
      </c>
    </row>
    <row r="20" ht="14.002500000000003" customHeight="1">
      <c r="B20" s="201" t="n">
        <v>2</v>
      </c>
      <c r="C20" s="195" t="s">
        <v>93</v>
      </c>
      <c r="D20" s="200" t="n">
        <f>SUM(E20:H20)</f>
        <v>99</v>
      </c>
      <c r="E20" s="200" t="n">
        <f>'还本付息'!H5</f>
        <v>99</v>
      </c>
      <c r="F20" s="200" t="n">
        <v>0</v>
      </c>
      <c r="G20" s="200" t="n">
        <v>0</v>
      </c>
      <c r="H20" s="200" t="n">
        <v>0</v>
      </c>
      <c r="I20" s="207" t="n">
        <f>SUM(E20:H20)</f>
        <v>99</v>
      </c>
      <c r="J20" s="70" t="n">
        <f>I20-D20</f>
        <v>0</v>
      </c>
    </row>
    <row r="21" ht="14.002500000000003" customHeight="1">
      <c r="B21" s="192" t="s">
        <v>82</v>
      </c>
      <c r="C21" s="192" t="s">
        <v>94</v>
      </c>
      <c r="D21" s="198" t="n">
        <f>D22+D23</f>
        <v>5000</v>
      </c>
      <c r="E21" s="198" t="n">
        <f>E15</f>
        <v>4509.9</v>
      </c>
      <c r="F21" s="198" t="n">
        <f>F15</f>
        <v>490.1</v>
      </c>
      <c r="G21" s="198" t="n">
        <f>G15</f>
        <v>0</v>
      </c>
      <c r="H21" s="198" t="n">
        <f>H15</f>
        <v>0</v>
      </c>
      <c r="I21" s="207" t="n">
        <f>SUM(E21:H21)</f>
        <v>5000</v>
      </c>
      <c r="J21" s="70" t="n">
        <f>I21-D21</f>
        <v>0</v>
      </c>
    </row>
    <row r="22" ht="14.002500000000003" customHeight="1">
      <c r="B22" s="201" t="n">
        <v>1</v>
      </c>
      <c r="C22" s="195" t="s">
        <v>272</v>
      </c>
      <c r="D22" s="200" t="n">
        <f>G2</f>
        <v>2800</v>
      </c>
      <c r="E22" s="200" t="n">
        <f>E21-E23</f>
        <v>2309.9</v>
      </c>
      <c r="F22" s="200" t="n">
        <f>F21-F23</f>
        <v>490.1</v>
      </c>
      <c r="G22" s="200" t="n">
        <f>G21-G23</f>
        <v>0</v>
      </c>
      <c r="H22" s="200" t="n">
        <f>H21-H23</f>
        <v>0</v>
      </c>
      <c r="I22" s="207" t="n">
        <f>SUM(E22:H22)</f>
        <v>2800</v>
      </c>
      <c r="J22" s="70" t="n">
        <f>I22-D22</f>
        <v>0</v>
      </c>
    </row>
    <row r="23" ht="14.002500000000003" customHeight="1">
      <c r="B23" s="201" t="n">
        <v>2</v>
      </c>
      <c r="C23" s="195" t="s">
        <v>273</v>
      </c>
      <c r="D23" s="200" t="n">
        <f>'资金平衡表'!C36</f>
        <v>2200</v>
      </c>
      <c r="E23" s="200" t="n">
        <f>$D$23*E14</f>
        <v>2200</v>
      </c>
      <c r="F23" s="200" t="n">
        <f>$D$23*F14</f>
        <v>0</v>
      </c>
      <c r="G23" s="200" t="n">
        <f>$D$23*G14</f>
        <v>0</v>
      </c>
      <c r="H23" s="200" t="n">
        <f>$D$23*H14</f>
        <v>0</v>
      </c>
      <c r="I23" s="207" t="n">
        <f>SUM(E23:H23)</f>
        <v>2200</v>
      </c>
      <c r="J23" s="70" t="n">
        <f>I23-D23</f>
        <v>0</v>
      </c>
    </row>
    <row r="25" ht="14.002500000000003" customHeight="1">
      <c r="B25" s="144"/>
      <c r="C25" s="144"/>
      <c r="D25" s="144"/>
      <c r="E25" s="144"/>
      <c r="F25" s="144"/>
      <c r="G25" s="144"/>
      <c r="H25" s="144"/>
    </row>
    <row r="26" ht="14.002500000000003" customHeight="1">
      <c r="B26" s="144"/>
      <c r="C26" s="144"/>
      <c r="D26" s="144"/>
      <c r="E26" s="144"/>
      <c r="F26" s="144"/>
      <c r="G26" s="144"/>
      <c r="H26" s="144"/>
    </row>
    <row r="27" ht="14.002500000000003" customHeight="1">
      <c r="B27" s="144"/>
      <c r="C27" s="144"/>
      <c r="D27" s="144"/>
      <c r="E27" s="144"/>
      <c r="F27" s="144"/>
      <c r="G27" s="144"/>
      <c r="H27" s="144"/>
    </row>
    <row r="28" ht="14.002500000000003" customHeight="1">
      <c r="B28" s="144"/>
      <c r="C28" s="144"/>
      <c r="D28" s="144"/>
      <c r="E28" s="144"/>
      <c r="F28" s="144"/>
      <c r="G28" s="144"/>
      <c r="H28" s="144"/>
    </row>
    <row r="29" ht="14.002500000000003" customHeight="1">
      <c r="B29" s="144"/>
      <c r="C29" s="144"/>
      <c r="D29" s="144"/>
      <c r="E29" s="144"/>
      <c r="F29" s="144"/>
      <c r="G29" s="144"/>
      <c r="H29" s="144"/>
    </row>
    <row r="30" ht="14.002500000000003" customHeight="1">
      <c r="B30" s="144"/>
      <c r="C30" s="144"/>
      <c r="D30" s="144"/>
      <c r="E30" s="144"/>
      <c r="F30" s="144"/>
      <c r="G30" s="144"/>
      <c r="H30" s="144"/>
    </row>
    <row r="31" ht="14.002500000000003" customHeight="1">
      <c r="B31" s="144"/>
      <c r="C31" s="144"/>
      <c r="D31" s="144"/>
      <c r="E31" s="144"/>
      <c r="F31" s="144"/>
      <c r="G31" s="144"/>
      <c r="H31" s="144"/>
    </row>
    <row r="32" ht="14.002500000000003" customHeight="1">
      <c r="B32" s="144"/>
      <c r="C32" s="144"/>
      <c r="D32" s="144"/>
      <c r="E32" s="144"/>
      <c r="F32" s="144"/>
      <c r="G32" s="144"/>
      <c r="H32" s="144"/>
    </row>
    <row r="33" ht="14.002500000000003" customHeight="1">
      <c r="B33" s="144"/>
      <c r="C33" s="144"/>
      <c r="D33" s="144"/>
      <c r="E33" s="144"/>
      <c r="F33" s="144"/>
      <c r="G33" s="144"/>
      <c r="H33" s="144"/>
    </row>
    <row r="34" ht="14.002500000000003" customHeight="1">
      <c r="B34" s="144"/>
      <c r="C34" s="144"/>
      <c r="D34" s="144"/>
      <c r="E34" s="144"/>
      <c r="F34" s="144"/>
      <c r="G34" s="144"/>
      <c r="H34" s="144"/>
    </row>
    <row r="35" ht="14.002500000000003" customHeight="1">
      <c r="B35" s="144"/>
      <c r="C35" s="144"/>
      <c r="D35" s="144"/>
      <c r="E35" s="144"/>
      <c r="F35" s="144"/>
      <c r="G35" s="144"/>
      <c r="H35" s="144"/>
    </row>
    <row r="36" ht="14.002500000000003" customHeight="1">
      <c r="B36" s="144"/>
      <c r="C36" s="144"/>
      <c r="D36" s="144"/>
      <c r="E36" s="144"/>
      <c r="F36" s="144"/>
      <c r="G36" s="144"/>
      <c r="H36" s="144"/>
    </row>
    <row r="37" ht="14.002500000000003" customHeight="1">
      <c r="B37" s="144"/>
      <c r="C37" s="144"/>
      <c r="D37" s="144"/>
      <c r="E37" s="144"/>
      <c r="F37" s="144"/>
      <c r="G37" s="144"/>
      <c r="H37" s="144"/>
    </row>
    <row r="38" ht="14.002500000000003" customHeight="1">
      <c r="B38" s="144"/>
      <c r="C38" s="144"/>
      <c r="D38" s="144"/>
      <c r="E38" s="144"/>
      <c r="F38" s="144"/>
      <c r="G38" s="144"/>
      <c r="H38" s="144"/>
    </row>
    <row r="39" ht="14.002500000000003" customHeight="1">
      <c r="B39" s="144"/>
      <c r="C39" s="144"/>
      <c r="D39" s="144"/>
      <c r="E39" s="144"/>
      <c r="F39" s="144"/>
      <c r="G39" s="144"/>
      <c r="H39" s="144"/>
    </row>
    <row r="40" ht="14.002500000000003" customHeight="1">
      <c r="B40" s="144"/>
      <c r="C40" s="144"/>
      <c r="D40" s="144"/>
      <c r="E40" s="144"/>
      <c r="F40" s="144"/>
      <c r="G40" s="144"/>
      <c r="H40" s="144"/>
    </row>
    <row r="41" ht="14.002500000000003" customHeight="1">
      <c r="B41" s="144"/>
      <c r="C41" s="144"/>
      <c r="D41" s="144"/>
      <c r="E41" s="144"/>
      <c r="F41" s="144"/>
      <c r="G41" s="144"/>
      <c r="H41" s="144"/>
    </row>
    <row r="42" ht="14.002500000000003" customHeight="1">
      <c r="B42" s="144"/>
      <c r="C42" s="144"/>
      <c r="D42" s="144"/>
      <c r="E42" s="144"/>
      <c r="F42" s="144"/>
      <c r="G42" s="144"/>
      <c r="H42" s="144"/>
    </row>
    <row r="43" ht="14.002500000000003" customHeight="1">
      <c r="B43" s="144"/>
      <c r="C43" s="144"/>
      <c r="D43" s="144"/>
      <c r="E43" s="144"/>
      <c r="F43" s="144"/>
      <c r="G43" s="144"/>
      <c r="H43" s="144"/>
    </row>
    <row r="44" ht="14.002500000000003" customHeight="1">
      <c r="B44" s="144"/>
      <c r="C44" s="144"/>
      <c r="D44" s="144"/>
      <c r="E44" s="144"/>
      <c r="F44" s="144"/>
      <c r="G44" s="144"/>
      <c r="H44" s="144"/>
    </row>
    <row r="45" ht="14.002500000000003" customHeight="1">
      <c r="B45" s="144"/>
      <c r="C45" s="144"/>
      <c r="D45" s="144"/>
      <c r="E45" s="144"/>
      <c r="F45" s="144"/>
      <c r="G45" s="144"/>
      <c r="H45" s="144"/>
    </row>
    <row r="46" ht="14.002500000000003" customHeight="1">
      <c r="B46" s="144"/>
      <c r="C46" s="144"/>
      <c r="D46" s="144"/>
      <c r="E46" s="144"/>
      <c r="F46" s="144"/>
      <c r="G46" s="144"/>
      <c r="H46" s="144"/>
    </row>
    <row r="47" ht="14.002500000000003" customHeight="1">
      <c r="B47" s="144"/>
      <c r="C47" s="144"/>
      <c r="D47" s="144"/>
      <c r="E47" s="144"/>
      <c r="F47" s="144"/>
      <c r="G47" s="144"/>
      <c r="H47" s="144"/>
    </row>
    <row r="48" ht="14.002500000000003" customHeight="1">
      <c r="B48" s="144"/>
      <c r="C48" s="144"/>
      <c r="D48" s="144"/>
      <c r="E48" s="144"/>
      <c r="F48" s="144"/>
      <c r="G48" s="144"/>
      <c r="H48" s="144"/>
    </row>
    <row r="49" ht="14.002500000000003" customHeight="1">
      <c r="B49" s="144"/>
      <c r="C49" s="144"/>
      <c r="D49" s="144"/>
      <c r="E49" s="144"/>
      <c r="F49" s="144"/>
      <c r="G49" s="144"/>
      <c r="H49" s="144"/>
    </row>
    <row r="50" ht="14.002500000000003" customHeight="1">
      <c r="B50" s="144"/>
      <c r="C50" s="144"/>
      <c r="D50" s="144"/>
      <c r="E50" s="144"/>
      <c r="F50" s="144"/>
      <c r="G50" s="144"/>
      <c r="H50" s="144"/>
    </row>
    <row r="51" ht="14.002500000000003" customHeight="1">
      <c r="B51" s="144"/>
      <c r="C51" s="144"/>
      <c r="D51" s="144"/>
      <c r="E51" s="144"/>
      <c r="F51" s="144"/>
      <c r="G51" s="144"/>
      <c r="H51" s="144"/>
    </row>
    <row r="52" ht="14.002500000000003" customHeight="1">
      <c r="B52" s="144"/>
      <c r="C52" s="144"/>
      <c r="D52" s="144"/>
      <c r="E52" s="144"/>
      <c r="F52" s="144"/>
      <c r="G52" s="144"/>
      <c r="H52" s="144"/>
    </row>
    <row r="53" ht="14.002500000000003" customHeight="1">
      <c r="B53" s="144"/>
      <c r="C53" s="144"/>
      <c r="D53" s="144"/>
      <c r="E53" s="144"/>
      <c r="F53" s="144"/>
      <c r="G53" s="144"/>
      <c r="H53" s="144"/>
    </row>
    <row r="54" ht="14.002500000000003" customHeight="1">
      <c r="B54" s="144"/>
      <c r="C54" s="144"/>
      <c r="D54" s="144"/>
      <c r="E54" s="144"/>
      <c r="F54" s="144"/>
      <c r="G54" s="144"/>
      <c r="H54" s="144"/>
    </row>
    <row r="55" ht="14.002500000000003" customHeight="1">
      <c r="B55" s="144"/>
      <c r="C55" s="144"/>
      <c r="D55" s="144"/>
      <c r="E55" s="144"/>
      <c r="F55" s="144"/>
      <c r="G55" s="144"/>
      <c r="H55" s="144"/>
    </row>
    <row r="56" ht="14.002500000000003" customHeight="1">
      <c r="B56" s="144"/>
      <c r="C56" s="144"/>
      <c r="D56" s="144"/>
      <c r="E56" s="144"/>
      <c r="F56" s="144"/>
      <c r="G56" s="144"/>
      <c r="H56" s="144"/>
    </row>
    <row r="57" ht="14.002500000000003" customHeight="1">
      <c r="B57" s="144"/>
      <c r="C57" s="144"/>
      <c r="D57" s="144"/>
      <c r="E57" s="144"/>
      <c r="F57" s="144"/>
      <c r="G57" s="144"/>
      <c r="H57" s="144"/>
    </row>
    <row r="58" ht="14.002500000000003" customHeight="1">
      <c r="B58" s="144"/>
      <c r="C58" s="144"/>
      <c r="D58" s="144"/>
      <c r="E58" s="144"/>
      <c r="F58" s="144"/>
      <c r="G58" s="144"/>
      <c r="H58" s="144"/>
    </row>
    <row r="59" ht="14.002500000000003" customHeight="1">
      <c r="B59" s="144"/>
      <c r="C59" s="144"/>
      <c r="D59" s="144"/>
      <c r="E59" s="144"/>
      <c r="F59" s="144"/>
      <c r="G59" s="144"/>
      <c r="H59" s="144"/>
    </row>
    <row r="60" ht="14.002500000000003" customHeight="1">
      <c r="B60" s="144"/>
      <c r="C60" s="144"/>
      <c r="D60" s="144"/>
      <c r="E60" s="144"/>
      <c r="F60" s="144"/>
      <c r="G60" s="144"/>
      <c r="H60" s="144"/>
    </row>
    <row r="61" ht="14.002500000000003" customHeight="1">
      <c r="B61" s="144"/>
      <c r="C61" s="144"/>
      <c r="D61" s="144"/>
      <c r="E61" s="144"/>
      <c r="F61" s="144"/>
      <c r="G61" s="144"/>
      <c r="H61" s="144"/>
    </row>
    <row r="62" ht="14.002500000000003" customHeight="1">
      <c r="B62" s="144"/>
      <c r="C62" s="144"/>
      <c r="D62" s="144"/>
      <c r="E62" s="144"/>
      <c r="F62" s="144"/>
      <c r="G62" s="144"/>
      <c r="H62" s="144"/>
    </row>
    <row r="63" ht="14.002500000000003" customHeight="1">
      <c r="B63" s="144"/>
      <c r="C63" s="144"/>
      <c r="D63" s="144"/>
      <c r="E63" s="144"/>
      <c r="F63" s="144"/>
      <c r="G63" s="144"/>
      <c r="H63" s="144"/>
    </row>
    <row r="64" ht="14.002500000000003" customHeight="1">
      <c r="B64" s="144"/>
      <c r="C64" s="144"/>
      <c r="D64" s="144"/>
      <c r="E64" s="144"/>
      <c r="F64" s="144"/>
      <c r="G64" s="144"/>
      <c r="H64" s="144"/>
    </row>
    <row r="65" ht="14.002500000000003" customHeight="1">
      <c r="B65" s="144"/>
      <c r="C65" s="144"/>
      <c r="D65" s="144"/>
      <c r="E65" s="144"/>
      <c r="F65" s="144"/>
      <c r="G65" s="144"/>
      <c r="H65" s="144"/>
    </row>
    <row r="66" ht="14.002500000000003" customHeight="1">
      <c r="B66" s="144"/>
      <c r="C66" s="144"/>
      <c r="D66" s="144"/>
      <c r="E66" s="144"/>
      <c r="F66" s="144"/>
      <c r="G66" s="144"/>
      <c r="H66" s="144"/>
    </row>
    <row r="67" ht="14.002500000000003" customHeight="1">
      <c r="B67" s="144"/>
      <c r="C67" s="144"/>
      <c r="D67" s="144"/>
      <c r="E67" s="144"/>
      <c r="F67" s="144"/>
      <c r="G67" s="144"/>
      <c r="H67" s="144"/>
    </row>
    <row r="68" ht="14.002500000000003" customHeight="1">
      <c r="B68" s="144"/>
      <c r="C68" s="144"/>
      <c r="D68" s="144"/>
      <c r="E68" s="144"/>
      <c r="F68" s="144"/>
      <c r="G68" s="144"/>
      <c r="H68" s="144"/>
    </row>
  </sheetData>
  <mergeCells count="5">
    <mergeCell ref="D9:D10"/>
    <mergeCell ref="B8:H8"/>
    <mergeCell ref="C9:C10"/>
    <mergeCell ref="B9:B10"/>
    <mergeCell ref="E9:H9"/>
  </mergeCells>
  <phoneticPr fontId="1" type="noConversion"/>
  <conditionalFormatting sqref="E22">
    <cfRule priority="11" type="cellIs" operator="lessThan" dxfId="2">
      <formula>$E$20</formula>
    </cfRule>
  </conditionalFormatting>
  <conditionalFormatting sqref="I12:I14">
    <cfRule priority="2" type="cellIs" operator="notEqual" dxfId="3">
      <formula>1</formula>
    </cfRule>
  </conditionalFormatting>
  <conditionalFormatting sqref="F22">
    <cfRule priority="10" type="cellIs" operator="lessThan" dxfId="2">
      <formula>$F$20</formula>
    </cfRule>
  </conditionalFormatting>
  <conditionalFormatting sqref="G22">
    <cfRule priority="9" type="cellIs" operator="lessThan" dxfId="1">
      <formula>$G$20</formula>
    </cfRule>
  </conditionalFormatting>
  <conditionalFormatting sqref="I15:I23">
    <cfRule priority="1" type="cellIs" operator="notEqual" dxfId="3">
      <formula>D15</formula>
    </cfRule>
  </conditionalFormatting>
  <conditionalFormatting sqref="E23:H23">
    <cfRule priority="3" type="expression" dxfId="3">
      <formula>AND(E23&lt;1000,E23&gt;0)</formula>
    </cfRule>
  </conditionalFormatting>
  <conditionalFormatting sqref="H22">
    <cfRule priority="8" type="cellIs" operator="lessThan" dxfId="1">
      <formula>$H$20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2.997499999999997" customHeight="1"/>
  <cols>
    <col min="1" max="1" width="27.1640625" customWidth="1" style="151"/>
    <col min="2" max="2" width="19.3330078125" customWidth="1" style="151"/>
    <col min="3" max="3" width="30.9990234375" customWidth="1" style="151"/>
    <col min="4" max="9" width="15.1640625" customWidth="1" style="151"/>
    <col min="10" max="40" width="9" style="151"/>
  </cols>
  <sheetData>
    <row r="1" ht="23.25" customHeight="1">
      <c r="A1" s="152" t="s">
        <v>274</v>
      </c>
      <c r="B1" s="153" t="s">
        <v>275</v>
      </c>
      <c r="C1" s="154" t="s">
        <v>276</v>
      </c>
    </row>
    <row r="2" ht="23.25" customHeight="1">
      <c r="A2" s="152" t="s">
        <v>277</v>
      </c>
    </row>
    <row r="3" ht="23.25" customHeight="1">
      <c r="A3" s="152" t="s">
        <v>278</v>
      </c>
    </row>
    <row r="4" ht="23.25" customHeight="1">
      <c r="A4" s="155" t="s">
        <v>279</v>
      </c>
      <c r="B4" s="156" t="s">
        <v>280</v>
      </c>
    </row>
    <row r="5" ht="23.25" customHeight="1">
      <c r="A5" s="155" t="s">
        <v>281</v>
      </c>
      <c r="B5" s="157" t="n">
        <f>DATEDIF(B6,B7+1,"M")</f>
        <v>26</v>
      </c>
      <c r="C5" s="158" t="s">
        <v>282</v>
      </c>
    </row>
    <row r="6" ht="23.25" customHeight="1">
      <c r="A6" s="155" t="s">
        <v>283</v>
      </c>
      <c r="B6" s="159" t="n">
        <f>'分年计划及建设期利息'!C1</f>
        <v>45108.9</v>
      </c>
      <c r="C6" s="151" t="s">
        <v>284</v>
      </c>
    </row>
    <row r="7" ht="23.25" customHeight="1">
      <c r="A7" s="155" t="s">
        <v>285</v>
      </c>
      <c r="B7" s="160" t="n">
        <f>'分年计划及建设期利息'!C2</f>
        <v>45900</v>
      </c>
      <c r="C7" s="151" t="s">
        <v>284</v>
      </c>
      <c r="D7" s="161" t="n">
        <f>(B7-B6)/30-B5</f>
        <v>0.370000000000001</v>
      </c>
      <c r="E7" s="158" t="s">
        <v>286</v>
      </c>
      <c r="F7" s="158" t="s">
        <v>287</v>
      </c>
    </row>
    <row r="9" ht="23.25" customHeight="1">
      <c r="A9" s="152" t="s">
        <v>288</v>
      </c>
    </row>
    <row r="10" ht="23.25" customHeight="1">
      <c r="A10" s="155" t="s">
        <v>289</v>
      </c>
      <c r="B10" s="157" t="n">
        <f>B5</f>
        <v>26</v>
      </c>
      <c r="C10" s="158" t="s">
        <v>282</v>
      </c>
      <c r="D10" s="161" t="n">
        <f>B10-B5</f>
        <v>0</v>
      </c>
      <c r="E10" s="151" t="s">
        <v>290</v>
      </c>
    </row>
    <row r="11" ht="23.25" customHeight="1">
      <c r="A11" s="155" t="s">
        <v>291</v>
      </c>
      <c r="B11" s="160" t="n">
        <f>B6</f>
        <v>45108.9</v>
      </c>
      <c r="C11" s="151" t="s">
        <v>284</v>
      </c>
      <c r="D11" s="161" t="n">
        <f>B11-B6</f>
        <v>0</v>
      </c>
      <c r="E11" s="162" t="s">
        <v>292</v>
      </c>
      <c r="F11" s="416" t="s">
        <v>293</v>
      </c>
      <c r="G11" s="416"/>
      <c r="H11" s="416"/>
      <c r="I11" s="416"/>
      <c r="J11" s="416"/>
    </row>
    <row r="12" ht="23.25" customHeight="1">
      <c r="A12" s="155" t="s">
        <v>294</v>
      </c>
      <c r="B12" s="159" t="n">
        <f>B7</f>
        <v>45900</v>
      </c>
      <c r="C12" s="151" t="s">
        <v>284</v>
      </c>
      <c r="D12" s="161" t="n">
        <f>B12-B7</f>
        <v>0</v>
      </c>
      <c r="E12" s="162" t="s">
        <v>295</v>
      </c>
      <c r="F12" s="416"/>
      <c r="G12" s="416"/>
      <c r="H12" s="416"/>
      <c r="I12" s="416"/>
      <c r="J12" s="416"/>
    </row>
    <row r="13" ht="23.25" customHeight="1">
      <c r="A13" s="163" t="s">
        <v>296</v>
      </c>
      <c r="B13" s="164" t="n">
        <f>'分年计划及建设期利息'!D17</f>
        <v>3992.88</v>
      </c>
      <c r="C13" s="165" t="n">
        <f>B13-B24</f>
        <v>0</v>
      </c>
      <c r="D13" s="158" t="s">
        <v>297</v>
      </c>
      <c r="E13" s="158" t="s">
        <v>298</v>
      </c>
      <c r="F13" s="166"/>
      <c r="G13" s="166"/>
      <c r="H13" s="166"/>
      <c r="I13" s="166"/>
    </row>
    <row r="14" ht="23.25" customHeight="1">
      <c r="A14" s="163" t="s">
        <v>299</v>
      </c>
      <c r="B14" s="164" t="n">
        <f>'分年计划及建设期利息'!D18</f>
        <v>559.82</v>
      </c>
      <c r="C14" s="165" t="n">
        <f>B14-B25</f>
        <v>0</v>
      </c>
      <c r="D14" s="158" t="s">
        <v>300</v>
      </c>
      <c r="E14" s="158" t="s">
        <v>298</v>
      </c>
      <c r="F14" s="166"/>
      <c r="G14" s="166"/>
      <c r="H14" s="166"/>
      <c r="I14" s="166"/>
    </row>
    <row r="15" ht="23.25" customHeight="1">
      <c r="A15" s="163" t="s">
        <v>301</v>
      </c>
      <c r="B15" s="164" t="n">
        <f>'分年计划及建设期利息'!D19</f>
        <v>348.3</v>
      </c>
      <c r="C15" s="165" t="n">
        <f>B15-B26</f>
        <v>0</v>
      </c>
      <c r="D15" s="158" t="s">
        <v>302</v>
      </c>
      <c r="E15" s="158" t="s">
        <v>298</v>
      </c>
      <c r="F15" s="166"/>
      <c r="G15" s="166"/>
      <c r="H15" s="166"/>
      <c r="I15" s="166"/>
    </row>
    <row r="16" ht="23.25" customHeight="1">
      <c r="A16" s="163" t="s">
        <v>303</v>
      </c>
      <c r="B16" s="164" t="n">
        <f>'分年计划及建设期利息'!D20</f>
        <v>99</v>
      </c>
      <c r="C16" s="165" t="n">
        <f>B16-B27</f>
        <v>0</v>
      </c>
      <c r="D16" s="167" t="s">
        <v>304</v>
      </c>
      <c r="E16" s="158" t="s">
        <v>298</v>
      </c>
      <c r="F16" s="166"/>
      <c r="G16" s="166"/>
      <c r="H16" s="166"/>
      <c r="I16" s="166"/>
    </row>
    <row r="17" ht="23.25" customHeight="1">
      <c r="A17" s="163" t="s">
        <v>195</v>
      </c>
      <c r="B17" s="168" t="n">
        <f>SUM(B13:B16)</f>
        <v>5000</v>
      </c>
      <c r="C17" s="165" t="n">
        <f>B17-B28</f>
        <v>0</v>
      </c>
      <c r="D17" s="158" t="s">
        <v>305</v>
      </c>
      <c r="E17" s="158" t="s">
        <v>298</v>
      </c>
      <c r="F17" s="166"/>
      <c r="G17" s="166"/>
      <c r="H17" s="166"/>
      <c r="I17" s="166"/>
    </row>
    <row r="19" ht="23.25" customHeight="1">
      <c r="A19" s="152" t="s">
        <v>306</v>
      </c>
    </row>
    <row r="20" ht="23.25" customHeight="1">
      <c r="A20" s="155" t="s">
        <v>307</v>
      </c>
      <c r="B20" s="156"/>
    </row>
    <row r="21" ht="23.25" customHeight="1">
      <c r="A21" s="155" t="s">
        <v>308</v>
      </c>
      <c r="B21" s="164" t="n">
        <f>B22</f>
        <v>5000</v>
      </c>
      <c r="C21" s="161" t="n">
        <f>B21-B22</f>
        <v>0</v>
      </c>
      <c r="D21" s="158" t="s">
        <v>309</v>
      </c>
      <c r="E21" s="158" t="s">
        <v>298</v>
      </c>
    </row>
    <row r="22" ht="23.25" customHeight="1">
      <c r="A22" s="155" t="s">
        <v>310</v>
      </c>
      <c r="B22" s="164" t="n">
        <f>'总投资估算'!G55</f>
        <v>5000</v>
      </c>
      <c r="C22" s="169" t="n">
        <f>B28-B22</f>
        <v>0</v>
      </c>
      <c r="D22" s="158" t="s">
        <v>311</v>
      </c>
      <c r="E22" s="158" t="s">
        <v>298</v>
      </c>
    </row>
    <row r="23" s="150" customFormat="1" ht="23.25" customHeight="1">
      <c r="A23" s="170" t="s">
        <v>312</v>
      </c>
      <c r="B23" s="170" t="s">
        <v>195</v>
      </c>
      <c r="C23" s="170" t="s">
        <v>313</v>
      </c>
      <c r="D23" s="171" t="s">
        <v>314</v>
      </c>
      <c r="E23" s="171" t="s">
        <v>315</v>
      </c>
      <c r="F23" s="171" t="s">
        <v>316</v>
      </c>
      <c r="G23" s="171" t="s">
        <v>317</v>
      </c>
      <c r="H23" s="171" t="s">
        <v>318</v>
      </c>
      <c r="I23" s="171" t="s">
        <v>319</v>
      </c>
    </row>
    <row r="24" s="150" customFormat="1" ht="23.25" customHeight="1">
      <c r="A24" s="163" t="s">
        <v>320</v>
      </c>
      <c r="B24" s="172" t="n">
        <f>SUM(C24:I24)</f>
        <v>3992.88</v>
      </c>
      <c r="C24" s="173"/>
      <c r="D24" s="174" t="n">
        <f>'分年计划及建设期利息'!E17</f>
        <v>3593.59</v>
      </c>
      <c r="E24" s="174" t="n">
        <f>'分年计划及建设期利息'!F17</f>
        <v>399.29</v>
      </c>
      <c r="F24" s="174" t="n">
        <f>'分年计划及建设期利息'!G17</f>
        <v>0</v>
      </c>
      <c r="G24" s="174" t="n">
        <f>'分年计划及建设期利息'!H17</f>
        <v>0</v>
      </c>
      <c r="H24" s="175"/>
      <c r="I24" s="175"/>
    </row>
    <row r="25" s="150" customFormat="1" ht="23.25" customHeight="1">
      <c r="A25" s="163" t="s">
        <v>321</v>
      </c>
      <c r="B25" s="172" t="n">
        <f>SUM(C25:I25)</f>
        <v>559.82</v>
      </c>
      <c r="C25" s="173"/>
      <c r="D25" s="174" t="n">
        <f>'分年计划及建设期利息'!E18</f>
        <v>503.84</v>
      </c>
      <c r="E25" s="174" t="n">
        <f>'分年计划及建设期利息'!F18</f>
        <v>55.98</v>
      </c>
      <c r="F25" s="174" t="n">
        <f>'分年计划及建设期利息'!G18</f>
        <v>0</v>
      </c>
      <c r="G25" s="174" t="n">
        <f>'分年计划及建设期利息'!H18</f>
        <v>0</v>
      </c>
      <c r="H25" s="175"/>
      <c r="I25" s="175"/>
    </row>
    <row r="26" s="150" customFormat="1" ht="23.25" customHeight="1">
      <c r="A26" s="163" t="s">
        <v>322</v>
      </c>
      <c r="B26" s="172" t="n">
        <f>SUM(C26:I26)</f>
        <v>348.3</v>
      </c>
      <c r="C26" s="173"/>
      <c r="D26" s="174" t="n">
        <f>'分年计划及建设期利息'!E19</f>
        <v>313.47</v>
      </c>
      <c r="E26" s="174" t="n">
        <f>'分年计划及建设期利息'!F19</f>
        <v>34.83</v>
      </c>
      <c r="F26" s="174" t="n">
        <f>'分年计划及建设期利息'!G19</f>
        <v>0</v>
      </c>
      <c r="G26" s="174" t="n">
        <f>'分年计划及建设期利息'!H19</f>
        <v>0</v>
      </c>
      <c r="H26" s="175"/>
      <c r="I26" s="175"/>
    </row>
    <row r="27" s="150" customFormat="1" ht="23.25" customHeight="1">
      <c r="A27" s="163" t="s">
        <v>323</v>
      </c>
      <c r="B27" s="172" t="n">
        <f>SUM(C27:I27)</f>
        <v>99</v>
      </c>
      <c r="C27" s="173"/>
      <c r="D27" s="174" t="n">
        <f>'分年计划及建设期利息'!E20</f>
        <v>99</v>
      </c>
      <c r="E27" s="174" t="n">
        <f>'分年计划及建设期利息'!F20</f>
        <v>0</v>
      </c>
      <c r="F27" s="174" t="n">
        <f>'分年计划及建设期利息'!G20</f>
        <v>0</v>
      </c>
      <c r="G27" s="174" t="n">
        <f>'分年计划及建设期利息'!H20</f>
        <v>0</v>
      </c>
      <c r="H27" s="175"/>
      <c r="I27" s="175"/>
    </row>
    <row r="28" ht="23.25" customHeight="1">
      <c r="A28" s="170" t="s">
        <v>195</v>
      </c>
      <c r="B28" s="176" t="n">
        <f>SUM(B24:B27)</f>
        <v>5000</v>
      </c>
      <c r="C28" s="168" t="n">
        <f>SUM(C24:C27)</f>
        <v>0</v>
      </c>
      <c r="D28" s="168" t="n">
        <f>SUM(D24:D27)</f>
        <v>4509.9</v>
      </c>
      <c r="E28" s="168" t="n">
        <f>SUM(E24:E27)</f>
        <v>490.1</v>
      </c>
      <c r="F28" s="168" t="n">
        <f>SUM(F24:F27)</f>
        <v>0</v>
      </c>
      <c r="G28" s="168" t="n">
        <f>SUM(G24:G27)</f>
        <v>0</v>
      </c>
      <c r="H28" s="168" t="n">
        <f>SUM(H24:H27)</f>
        <v>0</v>
      </c>
      <c r="I28" s="168" t="n">
        <f>SUM(I24:I27)</f>
        <v>0</v>
      </c>
      <c r="J28" s="152" t="s">
        <v>324</v>
      </c>
    </row>
    <row r="29" ht="23.25" customHeight="1">
      <c r="A29" s="152" t="s">
        <v>325</v>
      </c>
      <c r="B29" s="177"/>
      <c r="C29" s="177"/>
      <c r="D29" s="177"/>
      <c r="E29" s="177"/>
      <c r="F29" s="177"/>
      <c r="G29" s="177"/>
      <c r="H29" s="177"/>
      <c r="I29" s="177"/>
    </row>
    <row r="31" ht="23.25" customHeight="1">
      <c r="A31" s="152" t="s">
        <v>326</v>
      </c>
      <c r="B31" s="169" t="n">
        <f>B28-B36</f>
        <v>0</v>
      </c>
      <c r="C31" s="158" t="s">
        <v>327</v>
      </c>
      <c r="D31" s="158"/>
      <c r="E31" s="158" t="s">
        <v>298</v>
      </c>
      <c r="G31" s="178" t="n">
        <f>B33/B36</f>
        <v>0.56</v>
      </c>
      <c r="H31" s="151" t="s">
        <v>328</v>
      </c>
      <c r="I31" s="151" t="s">
        <v>329</v>
      </c>
    </row>
    <row r="32" ht="23.25" customHeight="1">
      <c r="A32" s="170" t="s">
        <v>330</v>
      </c>
      <c r="B32" s="170" t="s">
        <v>195</v>
      </c>
      <c r="C32" s="170" t="s">
        <v>313</v>
      </c>
      <c r="D32" s="171" t="s">
        <v>314</v>
      </c>
      <c r="E32" s="171" t="s">
        <v>315</v>
      </c>
      <c r="F32" s="171" t="s">
        <v>316</v>
      </c>
      <c r="G32" s="171" t="s">
        <v>317</v>
      </c>
      <c r="H32" s="171" t="s">
        <v>318</v>
      </c>
      <c r="I32" s="171" t="s">
        <v>319</v>
      </c>
    </row>
    <row r="33" ht="23.25" customHeight="1">
      <c r="A33" s="155" t="s">
        <v>331</v>
      </c>
      <c r="B33" s="176" t="n">
        <f>SUM(C33:I33)</f>
        <v>2800</v>
      </c>
      <c r="C33" s="179"/>
      <c r="D33" s="179" t="n">
        <f>'分年计划及建设期利息'!E22</f>
        <v>2309.9</v>
      </c>
      <c r="E33" s="179" t="n">
        <f>'分年计划及建设期利息'!F22</f>
        <v>490.1</v>
      </c>
      <c r="F33" s="179" t="n">
        <f>'分年计划及建设期利息'!G22</f>
        <v>0</v>
      </c>
      <c r="G33" s="179" t="n">
        <f>'分年计划及建设期利息'!H22</f>
        <v>0</v>
      </c>
      <c r="H33" s="179"/>
      <c r="I33" s="179"/>
    </row>
    <row r="34" ht="23.25" customHeight="1">
      <c r="A34" s="155" t="s">
        <v>332</v>
      </c>
      <c r="B34" s="176" t="n">
        <f>SUM(C34:I34)</f>
        <v>0</v>
      </c>
      <c r="C34" s="156"/>
      <c r="D34" s="156"/>
      <c r="E34" s="156"/>
      <c r="F34" s="156"/>
      <c r="G34" s="156"/>
      <c r="H34" s="156"/>
      <c r="I34" s="156"/>
      <c r="J34" s="152" t="s">
        <v>333</v>
      </c>
    </row>
    <row r="35" ht="23.25" customHeight="1">
      <c r="A35" s="155" t="s">
        <v>334</v>
      </c>
      <c r="B35" s="176" t="n">
        <f>SUM(C35:I35)</f>
        <v>2200</v>
      </c>
      <c r="C35" s="156"/>
      <c r="D35" s="156" t="n">
        <f>'分年计划及建设期利息'!E23</f>
        <v>2200</v>
      </c>
      <c r="E35" s="156" t="n">
        <f>'分年计划及建设期利息'!F23</f>
        <v>0</v>
      </c>
      <c r="F35" s="156" t="n">
        <f>'分年计划及建设期利息'!G23</f>
        <v>0</v>
      </c>
      <c r="G35" s="156" t="n">
        <f>'分年计划及建设期利息'!H23</f>
        <v>0</v>
      </c>
      <c r="H35" s="156"/>
      <c r="I35" s="156"/>
    </row>
    <row r="36" ht="23.25" customHeight="1">
      <c r="A36" s="155" t="s">
        <v>195</v>
      </c>
      <c r="B36" s="176" t="n">
        <f>SUM(C36:I36)</f>
        <v>5000</v>
      </c>
      <c r="C36" s="180" t="n">
        <f>SUM(C33:C35)</f>
        <v>0</v>
      </c>
      <c r="D36" s="180" t="n">
        <f>SUM(D33:D35)</f>
        <v>4509.9</v>
      </c>
      <c r="E36" s="180" t="n">
        <f>SUM(E33:E35)</f>
        <v>490.1</v>
      </c>
      <c r="F36" s="180" t="n">
        <f>SUM(F33:F35)</f>
        <v>0</v>
      </c>
      <c r="G36" s="180" t="n">
        <f>SUM(G33:G35)</f>
        <v>0</v>
      </c>
      <c r="H36" s="180" t="n">
        <f>SUM(H33:H35)</f>
        <v>0</v>
      </c>
      <c r="I36" s="180" t="n">
        <f>SUM(I33:I35)</f>
        <v>0</v>
      </c>
    </row>
    <row r="37" ht="31.5" customHeight="1">
      <c r="A37" s="415" t="s">
        <v>335</v>
      </c>
      <c r="B37" s="415"/>
      <c r="C37" s="415"/>
      <c r="D37" s="169" t="n">
        <f>D35-D28</f>
        <v>-2309.9</v>
      </c>
      <c r="E37" s="169" t="n">
        <f>E35-E28</f>
        <v>-490.1</v>
      </c>
      <c r="F37" s="169" t="n">
        <f>F35-F28</f>
        <v>0</v>
      </c>
      <c r="G37" s="169" t="n">
        <f>G35-G28</f>
        <v>0</v>
      </c>
      <c r="H37" s="169" t="n">
        <f>H35-H28</f>
        <v>0</v>
      </c>
      <c r="I37" s="169" t="n">
        <f>I35-I28</f>
        <v>0</v>
      </c>
    </row>
    <row r="38" ht="23.25" customHeight="1">
      <c r="A38" s="158"/>
    </row>
    <row r="39" ht="23.25" customHeight="1">
      <c r="A39" s="158"/>
      <c r="B39" s="181"/>
    </row>
    <row r="40" ht="23.25" customHeight="1">
      <c r="A40" s="158"/>
      <c r="B40" s="181"/>
    </row>
    <row r="41" ht="23.25" customHeight="1">
      <c r="F41" s="182"/>
    </row>
  </sheetData>
  <mergeCells count="2">
    <mergeCell ref="A37:C37"/>
    <mergeCell ref="F11:J12"/>
  </mergeCells>
  <phoneticPr fontId="1" type="noConversion"/>
  <dataValidations count="1">
    <dataValidation type="list" allowBlank="1" showInputMessage="1" showErrorMessage="1" sqref="B4">
      <formula1>"是,否"</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7CAAC"/>
    <outlinePr summaryBelow="0" summaryRight="0"/>
  </sheetPr>
  <dimension ref="A1"/>
  <sheetViews>
    <sheetView workbookViewId="0"/>
  </sheetViews>
  <sheetFormatPr baseColWidth="10" defaultColWidth="9.6650390625" defaultRowHeight="14.002500000000003" customHeight="1"/>
  <cols>
    <col min="1" max="1" width="7.3330078125" customWidth="1" style="70"/>
    <col min="2" max="2" width="11.33203125" customWidth="1" style="70"/>
    <col min="3" max="3" width="6.9990234375" customWidth="1" style="70"/>
    <col min="4" max="4" width="10.3330078125" customWidth="1" style="70"/>
    <col min="5" max="5" width="10.5" customWidth="1" style="70"/>
    <col min="6" max="6" width="9.9990234375" customWidth="1" style="70"/>
    <col min="7" max="7" width="11.666015625" customWidth="1" style="70"/>
    <col min="8" max="8" width="6.9990234375" customWidth="1" style="70"/>
    <col min="9" max="9" width="7.166015625" customWidth="1" style="70"/>
    <col min="10" max="10" width="9.9990234375" customWidth="1" style="70"/>
    <col min="11" max="11" width="18.9990234375" customWidth="1" style="70"/>
    <col min="12" max="12" width="6.83203125" hidden="1" customWidth="1" style="70"/>
    <col min="13" max="13" width="10.8310546875" hidden="1" customWidth="1" style="70"/>
    <col min="14" max="14" width="8.8330078125" hidden="1" customWidth="1" style="70"/>
    <col min="15" max="15" width="18.9990234375" hidden="1" customWidth="1" style="70"/>
    <col min="16" max="16" width="10.166015625" customWidth="1" style="70"/>
    <col min="17" max="17" width="7.998046875" customWidth="1" style="70"/>
    <col min="18" max="18" width="3.9990234375" customWidth="1" style="70"/>
    <col min="19" max="19" width="5.8330078125" customWidth="1" style="70"/>
    <col min="20" max="20" width="12.3310546875" customWidth="1" style="70"/>
    <col min="21" max="22" width="9.9990234375" customWidth="1" style="70"/>
    <col min="23" max="23" width="10.5" customWidth="1" style="70"/>
    <col min="24" max="24" width="13.5" customWidth="1" style="70"/>
    <col min="25" max="25" width="9.9990234375" customWidth="1" style="70"/>
    <col min="26" max="26" width="12.9990234375" customWidth="1" style="70"/>
    <col min="27" max="27" width="13.5" customWidth="1" style="70"/>
    <col min="28" max="28" width="9.6650390625" style="70"/>
    <col min="29" max="29" width="11.4990234375" customWidth="1" style="70"/>
    <col min="30" max="40" width="9.6650390625" style="70"/>
  </cols>
  <sheetData>
    <row r="1" ht="14.002500000000003" customHeight="1">
      <c r="A1" s="434" t="s">
        <v>336</v>
      </c>
      <c r="B1" s="434" t="s">
        <v>337</v>
      </c>
      <c r="C1" s="436" t="s">
        <v>338</v>
      </c>
      <c r="D1" s="436"/>
      <c r="E1" s="436"/>
      <c r="F1" s="436"/>
      <c r="G1" s="436"/>
      <c r="H1" s="437" t="s">
        <v>339</v>
      </c>
      <c r="I1" s="438"/>
      <c r="J1" s="438"/>
      <c r="K1" s="439"/>
      <c r="L1" s="440" t="s">
        <v>340</v>
      </c>
      <c r="M1" s="440"/>
      <c r="N1" s="440"/>
      <c r="O1" s="440"/>
      <c r="P1" s="557" t="s">
        <v>341</v>
      </c>
      <c r="R1" s="441" t="s">
        <v>342</v>
      </c>
      <c r="S1" s="441"/>
      <c r="T1" s="441"/>
      <c r="U1" s="441"/>
      <c r="V1" s="441"/>
      <c r="W1" s="441"/>
      <c r="X1" s="131" t="n">
        <v>0.05</v>
      </c>
      <c r="Y1" s="442" t="s">
        <v>343</v>
      </c>
      <c r="Z1" s="442"/>
      <c r="AA1" s="442"/>
    </row>
    <row r="2" ht="14" customHeight="1">
      <c r="A2" s="429"/>
      <c r="B2" s="429"/>
      <c r="C2" s="423" t="s">
        <v>344</v>
      </c>
      <c r="D2" s="423" t="s">
        <v>345</v>
      </c>
      <c r="E2" s="423" t="s">
        <v>346</v>
      </c>
      <c r="F2" s="423" t="s">
        <v>347</v>
      </c>
      <c r="G2" s="427" t="s">
        <v>348</v>
      </c>
      <c r="H2" s="423" t="s">
        <v>344</v>
      </c>
      <c r="I2" s="425" t="s">
        <v>345</v>
      </c>
      <c r="J2" s="423" t="s">
        <v>347</v>
      </c>
      <c r="K2" s="427" t="s">
        <v>348</v>
      </c>
      <c r="L2" s="423" t="s">
        <v>344</v>
      </c>
      <c r="M2" s="425" t="s">
        <v>345</v>
      </c>
      <c r="N2" s="423" t="s">
        <v>347</v>
      </c>
      <c r="O2" s="427" t="s">
        <v>348</v>
      </c>
      <c r="P2" s="429"/>
      <c r="R2" s="417"/>
      <c r="S2" s="420" t="s">
        <v>337</v>
      </c>
      <c r="T2" s="132" t="s">
        <v>349</v>
      </c>
      <c r="U2" s="85" t="s">
        <v>350</v>
      </c>
      <c r="V2" s="327" t="s">
        <v>340</v>
      </c>
      <c r="W2" s="417" t="s">
        <v>351</v>
      </c>
      <c r="X2" s="85" t="s">
        <v>352</v>
      </c>
      <c r="Y2" s="85" t="s">
        <v>114</v>
      </c>
      <c r="Z2" s="417" t="s">
        <v>353</v>
      </c>
      <c r="AA2" s="417" t="s">
        <v>354</v>
      </c>
      <c r="AB2" s="419" t="s">
        <f>'资金流入流出平衡表'!A20</f>
        <v>355</v>
      </c>
    </row>
    <row r="3" ht="14.002500000000003" customHeight="1">
      <c r="A3" s="430"/>
      <c r="B3" s="430"/>
      <c r="C3" s="424"/>
      <c r="D3" s="424"/>
      <c r="E3" s="424"/>
      <c r="F3" s="424"/>
      <c r="G3" s="428"/>
      <c r="H3" s="424"/>
      <c r="I3" s="426"/>
      <c r="J3" s="424"/>
      <c r="K3" s="428"/>
      <c r="L3" s="424"/>
      <c r="M3" s="426"/>
      <c r="N3" s="424"/>
      <c r="O3" s="428"/>
      <c r="P3" s="430"/>
      <c r="R3" s="418"/>
      <c r="S3" s="422"/>
      <c r="T3" s="133" t="n">
        <v>0.05</v>
      </c>
      <c r="U3" s="123"/>
      <c r="V3" s="328"/>
      <c r="W3" s="418"/>
      <c r="X3" s="134" t="n">
        <v>0.05</v>
      </c>
      <c r="Y3" s="123" t="n">
        <v>0.02</v>
      </c>
      <c r="Z3" s="418"/>
      <c r="AA3" s="418"/>
      <c r="AB3" s="419"/>
    </row>
    <row r="4" ht="14.002500000000003" customHeight="1">
      <c r="A4" s="85" t="s">
        <v>264</v>
      </c>
      <c r="B4" s="85" t="n">
        <v>1</v>
      </c>
      <c r="C4" s="85"/>
      <c r="D4" s="85"/>
      <c r="E4" s="85"/>
      <c r="F4" s="85"/>
      <c r="G4" s="85"/>
      <c r="H4" s="85"/>
      <c r="I4" s="85"/>
      <c r="J4" s="85"/>
      <c r="K4" s="85"/>
      <c r="L4" s="85"/>
      <c r="M4" s="85"/>
      <c r="N4" s="85"/>
      <c r="O4" s="85"/>
      <c r="P4" s="128"/>
      <c r="R4" s="135"/>
      <c r="S4" s="85" t="n">
        <v>1</v>
      </c>
      <c r="T4" s="85"/>
      <c r="U4" s="136" t="n">
        <f>ROUND(P4*3%,2)</f>
        <v>0</v>
      </c>
      <c r="V4" s="136"/>
      <c r="W4" s="85"/>
      <c r="X4" s="85"/>
      <c r="Y4" s="85"/>
      <c r="Z4" s="85"/>
      <c r="AA4" s="85"/>
    </row>
    <row r="5" ht="14.002500000000003" customHeight="1">
      <c r="A5" s="435" t="s">
        <v>356</v>
      </c>
      <c r="B5" s="85" t="n">
        <v>2</v>
      </c>
      <c r="C5" s="123" t="n">
        <v>0.5</v>
      </c>
      <c r="D5" s="329" t="n">
        <v>2.5</v>
      </c>
      <c r="E5" s="124" t="n">
        <v>1</v>
      </c>
      <c r="F5" s="124" t="n">
        <v>3000</v>
      </c>
      <c r="G5" s="124" t="n">
        <f>ROUND(C5*(D5+E5)*F5*365/10000,2)</f>
        <v>191.63</v>
      </c>
      <c r="H5" s="123" t="n">
        <v>0.5</v>
      </c>
      <c r="I5" s="124" t="n">
        <v>0.5</v>
      </c>
      <c r="J5" s="124" t="n">
        <f>F5*0.7</f>
        <v>2100</v>
      </c>
      <c r="K5" s="124" t="n">
        <f>ROUND(H5*I5*J5*365/10000,2)</f>
        <v>19.16</v>
      </c>
      <c r="L5" s="123" t="n">
        <v>0</v>
      </c>
      <c r="M5" s="124" t="n">
        <v>0</v>
      </c>
      <c r="N5" s="124" t="n">
        <v>0</v>
      </c>
      <c r="O5" s="124" t="n">
        <f>ROUND(L5*M5*N5*365/10000,2)</f>
        <v>0</v>
      </c>
      <c r="P5" s="129" t="n">
        <f>G5+K5+O5</f>
        <v>210.79</v>
      </c>
      <c r="R5" s="420" t="s">
        <v>356</v>
      </c>
      <c r="S5" s="85" t="n">
        <v>2</v>
      </c>
      <c r="T5" s="124" t="n">
        <f>$X$51*C5</f>
        <v>8.4831</v>
      </c>
      <c r="U5" s="136" t="n">
        <f>$AC$50*C5</f>
        <v>6.57</v>
      </c>
      <c r="V5" s="136" t="n">
        <f>AC47</f>
        <v>1.752</v>
      </c>
      <c r="W5" s="124" t="n">
        <f>ROUND(('项目技术经济指标'!I10*'项目技术经济指标'!J10+'项目技术经济指标'!K10*'项目技术经济指标'!L10)*12/10000,2)</f>
        <v>17.4</v>
      </c>
      <c r="X5" s="124" t="n">
        <f>ROUND('固定资产折旧'!$E$17*$X$1,2)</f>
        <v>8.63</v>
      </c>
      <c r="Y5" s="124" t="n">
        <f>ROUND(P5*$Y$3,2)</f>
        <v>4.22</v>
      </c>
      <c r="Z5" s="124" t="n">
        <f>ROUND('税费计算'!P7,2)</f>
        <v>0</v>
      </c>
      <c r="AA5" s="124" t="n">
        <f>ROUND(SUM(T5:Z5),2)</f>
        <v>47.06</v>
      </c>
      <c r="AB5" s="207" t="n">
        <f>AA5-Z5</f>
        <v>47.06</v>
      </c>
    </row>
    <row r="6" ht="14.002500000000003" customHeight="1">
      <c r="A6" s="435"/>
      <c r="B6" s="85" t="n">
        <v>3</v>
      </c>
      <c r="C6" s="123" t="n">
        <f>C5+5%</f>
        <v>0.55</v>
      </c>
      <c r="D6" s="124" t="n">
        <f>D5</f>
        <v>2.5</v>
      </c>
      <c r="E6" s="124" t="n">
        <f>E5</f>
        <v>1</v>
      </c>
      <c r="F6" s="124" t="n">
        <f>F5</f>
        <v>3000</v>
      </c>
      <c r="G6" s="124" t="n">
        <f>ROUND(C6*(D6+E6)*F6*365/10000,2)</f>
        <v>210.79</v>
      </c>
      <c r="H6" s="123" t="n">
        <f>H5+5%</f>
        <v>0.55</v>
      </c>
      <c r="I6" s="124" t="n">
        <f>I5</f>
        <v>0.5</v>
      </c>
      <c r="J6" s="124" t="n">
        <f>J5</f>
        <v>2100</v>
      </c>
      <c r="K6" s="124" t="n">
        <f>ROUND(H6*I6*J6*365/10000,2)</f>
        <v>21.08</v>
      </c>
      <c r="L6" s="123" t="n">
        <f>H6</f>
        <v>0.55</v>
      </c>
      <c r="M6" s="124" t="n">
        <f>M5</f>
        <v>0</v>
      </c>
      <c r="N6" s="124" t="n">
        <f>N5</f>
        <v>0</v>
      </c>
      <c r="O6" s="124" t="n">
        <f>ROUND(L6*M6*N6*365/10000,2)</f>
        <v>0</v>
      </c>
      <c r="P6" s="129" t="n">
        <f>G6+K6+O6</f>
        <v>231.87</v>
      </c>
      <c r="R6" s="421"/>
      <c r="S6" s="85" t="n">
        <v>3</v>
      </c>
      <c r="T6" s="124" t="n">
        <f>$X$51*C6</f>
        <v>9.33141</v>
      </c>
      <c r="U6" s="136" t="n">
        <f>$AC$50*C6</f>
        <v>7.227</v>
      </c>
      <c r="V6" s="136" t="n">
        <f>V5</f>
        <v>1.752</v>
      </c>
      <c r="W6" s="124" t="n">
        <f>W5</f>
        <v>17.4</v>
      </c>
      <c r="X6" s="124" t="n">
        <f>ROUND('固定资产折旧'!$E$17*$X$1,2)</f>
        <v>8.63</v>
      </c>
      <c r="Y6" s="124" t="n">
        <f>ROUND(P6*$Y$3,2)</f>
        <v>4.64</v>
      </c>
      <c r="Z6" s="124" t="n">
        <f>ROUND('税费计算'!P8,2)</f>
        <v>0</v>
      </c>
      <c r="AA6" s="124" t="n">
        <f>ROUND(SUM(T6:Z6),2)</f>
        <v>48.98</v>
      </c>
      <c r="AB6" s="70" t="n">
        <f>AA6-Z6</f>
        <v>48.98</v>
      </c>
    </row>
    <row r="7" ht="14.002500000000003" customHeight="1">
      <c r="A7" s="435"/>
      <c r="B7" s="85" t="n">
        <v>4</v>
      </c>
      <c r="C7" s="123" t="n">
        <f>C6+5%</f>
        <v>0.6</v>
      </c>
      <c r="D7" s="124" t="n">
        <f>D6</f>
        <v>2.5</v>
      </c>
      <c r="E7" s="124" t="n">
        <f>E6</f>
        <v>1</v>
      </c>
      <c r="F7" s="124" t="n">
        <f>F6</f>
        <v>3000</v>
      </c>
      <c r="G7" s="124" t="n">
        <f>ROUND(C7*(D7+E7)*F7*365/10000,2)</f>
        <v>229.95</v>
      </c>
      <c r="H7" s="123" t="n">
        <f>H6+5%</f>
        <v>0.6</v>
      </c>
      <c r="I7" s="124" t="n">
        <f>I6</f>
        <v>0.5</v>
      </c>
      <c r="J7" s="124" t="n">
        <f>J6</f>
        <v>2100</v>
      </c>
      <c r="K7" s="124" t="n">
        <f>ROUND(H7*I7*J7*365/10000,2)</f>
        <v>23</v>
      </c>
      <c r="L7" s="123" t="n">
        <f>H7</f>
        <v>0.6</v>
      </c>
      <c r="M7" s="124" t="n">
        <f>M6</f>
        <v>0</v>
      </c>
      <c r="N7" s="124" t="n">
        <f>N6</f>
        <v>0</v>
      </c>
      <c r="O7" s="124" t="n">
        <f>ROUND(L7*M7*N7*365/10000,2)</f>
        <v>0</v>
      </c>
      <c r="P7" s="129" t="n">
        <f>G7+K7+O7</f>
        <v>252.95</v>
      </c>
      <c r="R7" s="421"/>
      <c r="S7" s="85" t="n">
        <v>4</v>
      </c>
      <c r="T7" s="124" t="n">
        <f>$X$51*C7</f>
        <v>10.17972</v>
      </c>
      <c r="U7" s="136" t="n">
        <f>$AC$50*C7</f>
        <v>7.884</v>
      </c>
      <c r="V7" s="136" t="n">
        <f>V6</f>
        <v>1.752</v>
      </c>
      <c r="W7" s="124" t="n">
        <f>W6</f>
        <v>17.4</v>
      </c>
      <c r="X7" s="124" t="n">
        <f>ROUND('固定资产折旧'!$E$17*$X$1,2)</f>
        <v>8.63</v>
      </c>
      <c r="Y7" s="124" t="n">
        <f>ROUND(P7*$Y$3,2)</f>
        <v>5.06</v>
      </c>
      <c r="Z7" s="124" t="n">
        <f>ROUND('税费计算'!P9,2)</f>
        <v>0</v>
      </c>
      <c r="AA7" s="124" t="n">
        <f>ROUND(SUM(T7:Z7),2)</f>
        <v>50.91</v>
      </c>
      <c r="AB7" s="70" t="n">
        <f>AA7-Z7</f>
        <v>50.91</v>
      </c>
    </row>
    <row r="8" ht="14.002500000000003" customHeight="1">
      <c r="A8" s="435"/>
      <c r="B8" s="85" t="n">
        <v>5</v>
      </c>
      <c r="C8" s="123" t="n">
        <f>C7+5%</f>
        <v>0.65</v>
      </c>
      <c r="D8" s="124" t="n">
        <f>D7</f>
        <v>2.5</v>
      </c>
      <c r="E8" s="124" t="n">
        <f>E7</f>
        <v>1</v>
      </c>
      <c r="F8" s="124" t="n">
        <f>F7</f>
        <v>3000</v>
      </c>
      <c r="G8" s="124" t="n">
        <f>ROUND(C8*(D8+E8)*F8*365/10000,2)</f>
        <v>249.11</v>
      </c>
      <c r="H8" s="123" t="n">
        <f>H7+5%</f>
        <v>0.65</v>
      </c>
      <c r="I8" s="124" t="n">
        <f>I7</f>
        <v>0.5</v>
      </c>
      <c r="J8" s="124" t="n">
        <f>J7</f>
        <v>2100</v>
      </c>
      <c r="K8" s="124" t="n">
        <f>ROUND(H8*I8*J8*365/10000,2)</f>
        <v>24.91</v>
      </c>
      <c r="L8" s="123" t="n">
        <f>H8</f>
        <v>0.65</v>
      </c>
      <c r="M8" s="124" t="n">
        <f>M7</f>
        <v>0</v>
      </c>
      <c r="N8" s="124" t="n">
        <f>N7</f>
        <v>0</v>
      </c>
      <c r="O8" s="124" t="n">
        <f>ROUND(L8*M8*N8*365/10000,2)</f>
        <v>0</v>
      </c>
      <c r="P8" s="129" t="n">
        <f>G8+K8+O8</f>
        <v>274.02</v>
      </c>
      <c r="R8" s="421"/>
      <c r="S8" s="85" t="n">
        <v>5</v>
      </c>
      <c r="T8" s="124" t="n">
        <f>$X$51*C8</f>
        <v>11.02803</v>
      </c>
      <c r="U8" s="136" t="n">
        <f>$AC$50*C8</f>
        <v>8.541</v>
      </c>
      <c r="V8" s="136" t="n">
        <f>V7</f>
        <v>1.752</v>
      </c>
      <c r="W8" s="124" t="n">
        <f>W7</f>
        <v>17.4</v>
      </c>
      <c r="X8" s="124" t="n">
        <f>ROUND('固定资产折旧'!$E$17*$X$1,2)</f>
        <v>8.63</v>
      </c>
      <c r="Y8" s="124" t="n">
        <f>ROUND(P8*$Y$3,2)</f>
        <v>5.48</v>
      </c>
      <c r="Z8" s="124" t="n">
        <f>ROUND('税费计算'!P10,2)</f>
        <v>0</v>
      </c>
      <c r="AA8" s="124" t="n">
        <f>ROUND(SUM(T8:Z8),2)</f>
        <v>52.83</v>
      </c>
      <c r="AB8" s="70" t="n">
        <f>AA8-Z8</f>
        <v>52.83</v>
      </c>
    </row>
    <row r="9" ht="14.002500000000003" customHeight="1">
      <c r="A9" s="435"/>
      <c r="B9" s="85" t="n">
        <v>6</v>
      </c>
      <c r="C9" s="123" t="n">
        <f>C8+5%</f>
        <v>0.7</v>
      </c>
      <c r="D9" s="124" t="n">
        <f>D8</f>
        <v>2.5</v>
      </c>
      <c r="E9" s="124" t="n">
        <f>E8</f>
        <v>1</v>
      </c>
      <c r="F9" s="124" t="n">
        <f>F8</f>
        <v>3000</v>
      </c>
      <c r="G9" s="124" t="n">
        <f>ROUND(C9*(D9+E9)*F9*365/10000,2)</f>
        <v>268.28</v>
      </c>
      <c r="H9" s="123" t="n">
        <f>H8+5%</f>
        <v>0.7</v>
      </c>
      <c r="I9" s="124" t="n">
        <f>I8</f>
        <v>0.5</v>
      </c>
      <c r="J9" s="124" t="n">
        <f>J8</f>
        <v>2100</v>
      </c>
      <c r="K9" s="124" t="n">
        <f>ROUND(H9*I9*J9*365/10000,2)</f>
        <v>26.83</v>
      </c>
      <c r="L9" s="123" t="n">
        <f>H9</f>
        <v>0.7</v>
      </c>
      <c r="M9" s="124" t="n">
        <f>M8</f>
        <v>0</v>
      </c>
      <c r="N9" s="124" t="n">
        <f>N8</f>
        <v>0</v>
      </c>
      <c r="O9" s="124" t="n">
        <f>ROUND(L9*M9*N9*365/10000,2)</f>
        <v>0</v>
      </c>
      <c r="P9" s="129" t="n">
        <f>G9+K9+O9</f>
        <v>295.11</v>
      </c>
      <c r="R9" s="421"/>
      <c r="S9" s="85" t="n">
        <v>6</v>
      </c>
      <c r="T9" s="124" t="n">
        <f>$X$51*C9</f>
        <v>11.87634</v>
      </c>
      <c r="U9" s="136" t="n">
        <f>$AC$50*C9</f>
        <v>9.198</v>
      </c>
      <c r="V9" s="136" t="n">
        <f>V8</f>
        <v>1.752</v>
      </c>
      <c r="W9" s="124" t="n">
        <f>W8</f>
        <v>17.4</v>
      </c>
      <c r="X9" s="124" t="n">
        <f>ROUND('固定资产折旧'!$E$17*$X$1,2)</f>
        <v>8.63</v>
      </c>
      <c r="Y9" s="124" t="n">
        <f>ROUND(P9*$Y$3,2)</f>
        <v>5.9</v>
      </c>
      <c r="Z9" s="124" t="n">
        <f>ROUND('税费计算'!P11,2)</f>
        <v>0</v>
      </c>
      <c r="AA9" s="124" t="n">
        <f>ROUND(SUM(T9:Z9),2)</f>
        <v>54.76</v>
      </c>
      <c r="AB9" s="70" t="n">
        <f>AA9-Z9</f>
        <v>54.76</v>
      </c>
    </row>
    <row r="10" ht="14.002500000000003" customHeight="1">
      <c r="A10" s="435"/>
      <c r="B10" s="85" t="n">
        <v>7</v>
      </c>
      <c r="C10" s="123" t="n">
        <f>C9+5%</f>
        <v>0.75</v>
      </c>
      <c r="D10" s="124" t="n">
        <f>ROUND(D9*$C$36,2)</f>
        <v>2.75</v>
      </c>
      <c r="E10" s="124" t="n">
        <f>E9</f>
        <v>1</v>
      </c>
      <c r="F10" s="124" t="n">
        <f>F9</f>
        <v>3000</v>
      </c>
      <c r="G10" s="124" t="n">
        <f>ROUND(C10*(D10+E10)*F10*365/10000,2)</f>
        <v>307.97</v>
      </c>
      <c r="H10" s="123" t="n">
        <f>H9+5%</f>
        <v>0.75</v>
      </c>
      <c r="I10" s="124" t="n">
        <f>ROUND(I9*$C$36,2)</f>
        <v>0.55</v>
      </c>
      <c r="J10" s="124" t="n">
        <f>J9</f>
        <v>2100</v>
      </c>
      <c r="K10" s="124" t="n">
        <f>ROUND(H10*I10*J10*365/10000,2)</f>
        <v>31.62</v>
      </c>
      <c r="L10" s="123" t="n">
        <f>H10</f>
        <v>0.75</v>
      </c>
      <c r="M10" s="124" t="n">
        <f>ROUND(M9*$C$36,2)</f>
        <v>0</v>
      </c>
      <c r="N10" s="124" t="n">
        <f>N9</f>
        <v>0</v>
      </c>
      <c r="O10" s="124" t="n">
        <f>ROUND(L10*M10*N10*365/10000,2)</f>
        <v>0</v>
      </c>
      <c r="P10" s="129" t="n">
        <f>G10+K10+O10</f>
        <v>339.59</v>
      </c>
      <c r="R10" s="421"/>
      <c r="S10" s="85" t="n">
        <v>7</v>
      </c>
      <c r="T10" s="124" t="n">
        <f>$X$51*C10</f>
        <v>12.72465</v>
      </c>
      <c r="U10" s="136" t="n">
        <f>$AC$50*C10</f>
        <v>9.855</v>
      </c>
      <c r="V10" s="136" t="n">
        <f>V9</f>
        <v>1.752</v>
      </c>
      <c r="W10" s="124" t="n">
        <f>ROUND(W5*(1+'项目技术经济指标'!$M$10),2)</f>
        <v>19.14</v>
      </c>
      <c r="X10" s="124" t="n">
        <f>ROUND(X5*(1+$X$3),2)</f>
        <v>9.06</v>
      </c>
      <c r="Y10" s="124" t="n">
        <f>ROUND(P10*$Y$3,2)</f>
        <v>6.79</v>
      </c>
      <c r="Z10" s="124" t="n">
        <f>ROUND('税费计算'!P12,2)</f>
        <v>0</v>
      </c>
      <c r="AA10" s="124" t="n">
        <f>ROUND(SUM(T10:Z10),2)</f>
        <v>59.32</v>
      </c>
      <c r="AB10" s="70" t="n">
        <f>AA10-Z10</f>
        <v>59.32</v>
      </c>
    </row>
    <row r="11" ht="14.002500000000003" customHeight="1">
      <c r="A11" s="435"/>
      <c r="B11" s="85" t="n">
        <v>8</v>
      </c>
      <c r="C11" s="123" t="n">
        <f>C10</f>
        <v>0.75</v>
      </c>
      <c r="D11" s="124" t="n">
        <f>D10</f>
        <v>2.75</v>
      </c>
      <c r="E11" s="124" t="n">
        <f>E10</f>
        <v>1</v>
      </c>
      <c r="F11" s="124" t="n">
        <f>F10</f>
        <v>3000</v>
      </c>
      <c r="G11" s="124" t="n">
        <f>ROUND(C11*(D11+E11)*F11*365/10000,2)</f>
        <v>307.97</v>
      </c>
      <c r="H11" s="123" t="n">
        <f>H10</f>
        <v>0.75</v>
      </c>
      <c r="I11" s="124" t="n">
        <f>I10</f>
        <v>0.55</v>
      </c>
      <c r="J11" s="124" t="n">
        <f>J10</f>
        <v>2100</v>
      </c>
      <c r="K11" s="124" t="n">
        <f>ROUND(H11*I11*J11*365/10000,2)</f>
        <v>31.62</v>
      </c>
      <c r="L11" s="123" t="n">
        <f>H11</f>
        <v>0.75</v>
      </c>
      <c r="M11" s="124" t="n">
        <f>M10</f>
        <v>0</v>
      </c>
      <c r="N11" s="124" t="n">
        <f>N10</f>
        <v>0</v>
      </c>
      <c r="O11" s="124" t="n">
        <f>ROUND(L11*M11*N11*365/10000,2)</f>
        <v>0</v>
      </c>
      <c r="P11" s="129" t="n">
        <f>G11+K11+O11</f>
        <v>339.59</v>
      </c>
      <c r="R11" s="421"/>
      <c r="S11" s="85" t="n">
        <v>8</v>
      </c>
      <c r="T11" s="124" t="n">
        <f>$X$51*C11</f>
        <v>12.72465</v>
      </c>
      <c r="U11" s="136" t="n">
        <f>$AC$50*C11</f>
        <v>9.855</v>
      </c>
      <c r="V11" s="136" t="n">
        <f>V10</f>
        <v>1.752</v>
      </c>
      <c r="W11" s="124" t="n">
        <f>ROUND(W6*(1+'项目技术经济指标'!$M$10),2)</f>
        <v>19.14</v>
      </c>
      <c r="X11" s="124" t="n">
        <f>ROUND(X6*(1+$X$3),2)</f>
        <v>9.06</v>
      </c>
      <c r="Y11" s="124" t="n">
        <f>ROUND(P11*$Y$3,2)</f>
        <v>6.79</v>
      </c>
      <c r="Z11" s="124" t="n">
        <f>ROUND('税费计算'!P13,2)</f>
        <v>0</v>
      </c>
      <c r="AA11" s="124" t="n">
        <f>ROUND(SUM(T11:Z11),2)</f>
        <v>59.32</v>
      </c>
      <c r="AB11" s="70" t="n">
        <f>AA11-Z11</f>
        <v>59.32</v>
      </c>
    </row>
    <row r="12" ht="14.002500000000003" customHeight="1">
      <c r="A12" s="435"/>
      <c r="B12" s="85" t="n">
        <v>9</v>
      </c>
      <c r="C12" s="123" t="n">
        <f>C11</f>
        <v>0.75</v>
      </c>
      <c r="D12" s="124" t="n">
        <f>D11</f>
        <v>2.75</v>
      </c>
      <c r="E12" s="124" t="n">
        <f>E11</f>
        <v>1</v>
      </c>
      <c r="F12" s="124" t="n">
        <f>F11</f>
        <v>3000</v>
      </c>
      <c r="G12" s="124" t="n">
        <f>ROUND(C12*(D12+E12)*F12*365/10000,2)</f>
        <v>307.97</v>
      </c>
      <c r="H12" s="123" t="n">
        <f>H11</f>
        <v>0.75</v>
      </c>
      <c r="I12" s="124" t="n">
        <f>I11</f>
        <v>0.55</v>
      </c>
      <c r="J12" s="124" t="n">
        <f>J11</f>
        <v>2100</v>
      </c>
      <c r="K12" s="124" t="n">
        <f>ROUND(H12*I12*J12*365/10000,2)</f>
        <v>31.62</v>
      </c>
      <c r="L12" s="123" t="n">
        <f>H12</f>
        <v>0.75</v>
      </c>
      <c r="M12" s="124" t="n">
        <f>M11</f>
        <v>0</v>
      </c>
      <c r="N12" s="124" t="n">
        <f>N11</f>
        <v>0</v>
      </c>
      <c r="O12" s="124" t="n">
        <f>ROUND(L12*M12*N12*365/10000,2)</f>
        <v>0</v>
      </c>
      <c r="P12" s="129" t="n">
        <f>G12+K12+O12</f>
        <v>339.59</v>
      </c>
      <c r="R12" s="421"/>
      <c r="S12" s="85" t="n">
        <v>9</v>
      </c>
      <c r="T12" s="124" t="n">
        <f>$X$51*C12</f>
        <v>12.72465</v>
      </c>
      <c r="U12" s="136" t="n">
        <f>$AC$50*C12</f>
        <v>9.855</v>
      </c>
      <c r="V12" s="136" t="n">
        <f>V11</f>
        <v>1.752</v>
      </c>
      <c r="W12" s="124" t="n">
        <f>ROUND(W7*(1+'项目技术经济指标'!$M$10),2)</f>
        <v>19.14</v>
      </c>
      <c r="X12" s="124" t="n">
        <f>ROUND(X7*(1+$X$3),2)</f>
        <v>9.06</v>
      </c>
      <c r="Y12" s="124" t="n">
        <f>ROUND(P12*$Y$3,2)</f>
        <v>6.79</v>
      </c>
      <c r="Z12" s="124" t="n">
        <f>ROUND('税费计算'!P14,2)</f>
        <v>0</v>
      </c>
      <c r="AA12" s="124" t="n">
        <f>ROUND(SUM(T12:Z12),2)</f>
        <v>59.32</v>
      </c>
      <c r="AB12" s="70" t="n">
        <f>AA12-Z12</f>
        <v>59.32</v>
      </c>
    </row>
    <row r="13" ht="14.002500000000003" customHeight="1">
      <c r="A13" s="435"/>
      <c r="B13" s="85" t="n">
        <v>10</v>
      </c>
      <c r="C13" s="123" t="n">
        <f>C12</f>
        <v>0.75</v>
      </c>
      <c r="D13" s="124" t="n">
        <f>D12</f>
        <v>2.75</v>
      </c>
      <c r="E13" s="124" t="n">
        <f>E12</f>
        <v>1</v>
      </c>
      <c r="F13" s="124" t="n">
        <f>F12</f>
        <v>3000</v>
      </c>
      <c r="G13" s="124" t="n">
        <f>ROUND(C13*(D13+E13)*F13*365/10000,2)</f>
        <v>307.97</v>
      </c>
      <c r="H13" s="123" t="n">
        <f>H12</f>
        <v>0.75</v>
      </c>
      <c r="I13" s="124" t="n">
        <f>I12</f>
        <v>0.55</v>
      </c>
      <c r="J13" s="124" t="n">
        <f>J12</f>
        <v>2100</v>
      </c>
      <c r="K13" s="124" t="n">
        <f>ROUND(H13*I13*J13*365/10000,2)</f>
        <v>31.62</v>
      </c>
      <c r="L13" s="123" t="n">
        <f>H13</f>
        <v>0.75</v>
      </c>
      <c r="M13" s="124" t="n">
        <f>M12</f>
        <v>0</v>
      </c>
      <c r="N13" s="124" t="n">
        <f>N12</f>
        <v>0</v>
      </c>
      <c r="O13" s="124" t="n">
        <f>ROUND(L13*M13*N13*365/10000,2)</f>
        <v>0</v>
      </c>
      <c r="P13" s="129" t="n">
        <f>G13+K13+O13</f>
        <v>339.59</v>
      </c>
      <c r="R13" s="421"/>
      <c r="S13" s="85" t="n">
        <v>10</v>
      </c>
      <c r="T13" s="124" t="n">
        <f>$X$51*C13</f>
        <v>12.72465</v>
      </c>
      <c r="U13" s="136" t="n">
        <f>$AC$50*C13</f>
        <v>9.855</v>
      </c>
      <c r="V13" s="136" t="n">
        <f>V12</f>
        <v>1.752</v>
      </c>
      <c r="W13" s="124" t="n">
        <f>ROUND(W8*(1+'项目技术经济指标'!$M$10),2)</f>
        <v>19.14</v>
      </c>
      <c r="X13" s="124" t="n">
        <f>ROUND(X8*(1+$X$3),2)</f>
        <v>9.06</v>
      </c>
      <c r="Y13" s="124" t="n">
        <f>ROUND(P13*$Y$3,2)</f>
        <v>6.79</v>
      </c>
      <c r="Z13" s="124" t="n">
        <f>ROUND('税费计算'!P15,2)</f>
        <v>0</v>
      </c>
      <c r="AA13" s="124" t="n">
        <f>ROUND(SUM(T13:Z13),2)</f>
        <v>59.32</v>
      </c>
      <c r="AB13" s="70" t="n">
        <f>AA13-Z13</f>
        <v>59.32</v>
      </c>
    </row>
    <row r="14" ht="14.002500000000003" customHeight="1">
      <c r="A14" s="435"/>
      <c r="B14" s="85" t="n">
        <v>11</v>
      </c>
      <c r="C14" s="123" t="n">
        <f>C13</f>
        <v>0.75</v>
      </c>
      <c r="D14" s="124" t="n">
        <f>D13</f>
        <v>2.75</v>
      </c>
      <c r="E14" s="124" t="n">
        <f>E13</f>
        <v>1</v>
      </c>
      <c r="F14" s="124" t="n">
        <f>F13</f>
        <v>3000</v>
      </c>
      <c r="G14" s="124" t="n">
        <f>ROUND(C14*(D14+E14)*F14*365/10000,2)</f>
        <v>307.97</v>
      </c>
      <c r="H14" s="123" t="n">
        <f>H13</f>
        <v>0.75</v>
      </c>
      <c r="I14" s="124" t="n">
        <f>I13</f>
        <v>0.55</v>
      </c>
      <c r="J14" s="124" t="n">
        <f>J13</f>
        <v>2100</v>
      </c>
      <c r="K14" s="124" t="n">
        <f>ROUND(H14*I14*J14*365/10000,2)</f>
        <v>31.62</v>
      </c>
      <c r="L14" s="123" t="n">
        <f>H14</f>
        <v>0.75</v>
      </c>
      <c r="M14" s="124" t="n">
        <f>M13</f>
        <v>0</v>
      </c>
      <c r="N14" s="124" t="n">
        <f>N13</f>
        <v>0</v>
      </c>
      <c r="O14" s="124" t="n">
        <f>ROUND(L14*M14*N14*365/10000,2)</f>
        <v>0</v>
      </c>
      <c r="P14" s="129" t="n">
        <f>G14+K14+O14</f>
        <v>339.59</v>
      </c>
      <c r="R14" s="421"/>
      <c r="S14" s="85" t="n">
        <v>11</v>
      </c>
      <c r="T14" s="124" t="n">
        <f>$X$51*C14</f>
        <v>12.72465</v>
      </c>
      <c r="U14" s="136" t="n">
        <f>$AC$50*C14</f>
        <v>9.855</v>
      </c>
      <c r="V14" s="136" t="n">
        <f>V13</f>
        <v>1.752</v>
      </c>
      <c r="W14" s="124" t="n">
        <f>ROUND(W9*(1+'项目技术经济指标'!$M$10),2)</f>
        <v>19.14</v>
      </c>
      <c r="X14" s="124" t="n">
        <f>ROUND(X9*(1+$X$3),2)</f>
        <v>9.06</v>
      </c>
      <c r="Y14" s="124" t="n">
        <f>ROUND(P14*$Y$3,2)</f>
        <v>6.79</v>
      </c>
      <c r="Z14" s="124" t="n">
        <f>ROUND('税费计算'!P16,2)</f>
        <v>0</v>
      </c>
      <c r="AA14" s="124" t="n">
        <f>ROUND(SUM(T14:Z14),2)</f>
        <v>59.32</v>
      </c>
      <c r="AB14" s="70" t="n">
        <f>AA14-Z14</f>
        <v>59.32</v>
      </c>
    </row>
    <row r="15" ht="14.002500000000003" customHeight="1">
      <c r="A15" s="435"/>
      <c r="B15" s="85" t="n">
        <v>12</v>
      </c>
      <c r="C15" s="123" t="n">
        <f>C14</f>
        <v>0.75</v>
      </c>
      <c r="D15" s="124" t="n">
        <f>ROUND(D14*$C$36,2)</f>
        <v>3.03</v>
      </c>
      <c r="E15" s="124" t="n">
        <f>E14</f>
        <v>1</v>
      </c>
      <c r="F15" s="124" t="n">
        <f>F14</f>
        <v>3000</v>
      </c>
      <c r="G15" s="124" t="n">
        <f>ROUND(C15*(D15+E15)*F15*365/10000,2)</f>
        <v>330.96</v>
      </c>
      <c r="H15" s="123" t="n">
        <f>H14</f>
        <v>0.75</v>
      </c>
      <c r="I15" s="124" t="n">
        <f>ROUND(I14*$C$36,2)</f>
        <v>0.61</v>
      </c>
      <c r="J15" s="124" t="n">
        <f>J14</f>
        <v>2100</v>
      </c>
      <c r="K15" s="124" t="n">
        <f>ROUND(H15*I15*J15*365/10000,2)</f>
        <v>35.07</v>
      </c>
      <c r="L15" s="123" t="n">
        <f>H15</f>
        <v>0.75</v>
      </c>
      <c r="M15" s="124" t="n">
        <f>ROUND(M14*$C$36,2)</f>
        <v>0</v>
      </c>
      <c r="N15" s="124" t="n">
        <f>N14</f>
        <v>0</v>
      </c>
      <c r="O15" s="124" t="n">
        <f>ROUND(L15*M15*N15*365/10000,2)</f>
        <v>0</v>
      </c>
      <c r="P15" s="129" t="n">
        <f>G15+K15+O15</f>
        <v>366.03</v>
      </c>
      <c r="R15" s="421"/>
      <c r="S15" s="85" t="n">
        <v>12</v>
      </c>
      <c r="T15" s="124" t="n">
        <f>$X$51*C15</f>
        <v>12.72465</v>
      </c>
      <c r="U15" s="136" t="n">
        <f>$AC$50*C15</f>
        <v>9.855</v>
      </c>
      <c r="V15" s="136" t="n">
        <f>V14</f>
        <v>1.752</v>
      </c>
      <c r="W15" s="124" t="n">
        <f>ROUND(W10*(1+'项目技术经济指标'!$M$10),2)</f>
        <v>21.05</v>
      </c>
      <c r="X15" s="124" t="n">
        <f>ROUND(X10*(1+$X$3),2)</f>
        <v>9.51</v>
      </c>
      <c r="Y15" s="124" t="n">
        <f>ROUND(P15*$Y$3,2)</f>
        <v>7.32</v>
      </c>
      <c r="Z15" s="124" t="n">
        <f>ROUND('税费计算'!P17,2)</f>
        <v>0</v>
      </c>
      <c r="AA15" s="124" t="n">
        <f>ROUND(SUM(T15:Z15),2)</f>
        <v>62.21</v>
      </c>
      <c r="AB15" s="70" t="n">
        <f>AA15-Z15</f>
        <v>62.21</v>
      </c>
    </row>
    <row r="16" ht="14.002500000000003" customHeight="1">
      <c r="A16" s="435"/>
      <c r="B16" s="85" t="n">
        <v>13</v>
      </c>
      <c r="C16" s="123" t="n">
        <f>C15</f>
        <v>0.75</v>
      </c>
      <c r="D16" s="124" t="n">
        <f>D15</f>
        <v>3.03</v>
      </c>
      <c r="E16" s="124" t="n">
        <f>E15</f>
        <v>1</v>
      </c>
      <c r="F16" s="124" t="n">
        <f>F15</f>
        <v>3000</v>
      </c>
      <c r="G16" s="124" t="n">
        <f>ROUND(C16*(D16+E16)*F16*365/10000,2)</f>
        <v>330.96</v>
      </c>
      <c r="H16" s="123" t="n">
        <f>H15</f>
        <v>0.75</v>
      </c>
      <c r="I16" s="124" t="n">
        <f>I15</f>
        <v>0.61</v>
      </c>
      <c r="J16" s="124" t="n">
        <f>J15</f>
        <v>2100</v>
      </c>
      <c r="K16" s="124" t="n">
        <f>ROUND(H16*I16*J16*365/10000,2)</f>
        <v>35.07</v>
      </c>
      <c r="L16" s="123" t="n">
        <f>H16</f>
        <v>0.75</v>
      </c>
      <c r="M16" s="124" t="n">
        <f>M15</f>
        <v>0</v>
      </c>
      <c r="N16" s="124" t="n">
        <f>N15</f>
        <v>0</v>
      </c>
      <c r="O16" s="124" t="n">
        <f>ROUND(L16*M16*N16*365/10000,2)</f>
        <v>0</v>
      </c>
      <c r="P16" s="129" t="n">
        <f>G16+K16+O16</f>
        <v>366.03</v>
      </c>
      <c r="R16" s="421"/>
      <c r="S16" s="85" t="n">
        <v>13</v>
      </c>
      <c r="T16" s="124" t="n">
        <f>$X$51*C16</f>
        <v>12.72465</v>
      </c>
      <c r="U16" s="136" t="n">
        <f>$AC$50*C16</f>
        <v>9.855</v>
      </c>
      <c r="V16" s="136" t="n">
        <f>V15</f>
        <v>1.752</v>
      </c>
      <c r="W16" s="124" t="n">
        <f>ROUND(W11*(1+'项目技术经济指标'!$M$10),2)</f>
        <v>21.05</v>
      </c>
      <c r="X16" s="124" t="n">
        <f>ROUND(X11*(1+$X$3),2)</f>
        <v>9.51</v>
      </c>
      <c r="Y16" s="124" t="n">
        <f>ROUND(P16*$Y$3,2)</f>
        <v>7.32</v>
      </c>
      <c r="Z16" s="124" t="n">
        <f>ROUND('税费计算'!P18,2)</f>
        <v>0</v>
      </c>
      <c r="AA16" s="124" t="n">
        <f>ROUND(SUM(T16:Z16),2)</f>
        <v>62.21</v>
      </c>
      <c r="AB16" s="70" t="n">
        <f>AA16-Z16</f>
        <v>62.21</v>
      </c>
    </row>
    <row r="17" ht="14.002500000000003" customHeight="1">
      <c r="A17" s="435"/>
      <c r="B17" s="85" t="n">
        <v>14</v>
      </c>
      <c r="C17" s="123" t="n">
        <f>C16</f>
        <v>0.75</v>
      </c>
      <c r="D17" s="124" t="n">
        <f>D16</f>
        <v>3.03</v>
      </c>
      <c r="E17" s="124" t="n">
        <f>E16</f>
        <v>1</v>
      </c>
      <c r="F17" s="124" t="n">
        <f>F16</f>
        <v>3000</v>
      </c>
      <c r="G17" s="124" t="n">
        <f>ROUND(C17*(D17+E17)*F17*365/10000,2)</f>
        <v>330.96</v>
      </c>
      <c r="H17" s="123" t="n">
        <f>H16</f>
        <v>0.75</v>
      </c>
      <c r="I17" s="124" t="n">
        <f>I16</f>
        <v>0.61</v>
      </c>
      <c r="J17" s="124" t="n">
        <f>J16</f>
        <v>2100</v>
      </c>
      <c r="K17" s="124" t="n">
        <f>ROUND(H17*I17*J17*365/10000,2)</f>
        <v>35.07</v>
      </c>
      <c r="L17" s="123" t="n">
        <f>H17</f>
        <v>0.75</v>
      </c>
      <c r="M17" s="124" t="n">
        <f>M16</f>
        <v>0</v>
      </c>
      <c r="N17" s="124" t="n">
        <f>N16</f>
        <v>0</v>
      </c>
      <c r="O17" s="124" t="n">
        <f>ROUND(L17*M17*N17*365/10000,2)</f>
        <v>0</v>
      </c>
      <c r="P17" s="129" t="n">
        <f>G17+K17+O17</f>
        <v>366.03</v>
      </c>
      <c r="R17" s="421"/>
      <c r="S17" s="85" t="n">
        <v>14</v>
      </c>
      <c r="T17" s="124" t="n">
        <f>$X$51*C17</f>
        <v>12.72465</v>
      </c>
      <c r="U17" s="136" t="n">
        <f>$AC$50*C17</f>
        <v>9.855</v>
      </c>
      <c r="V17" s="136" t="n">
        <f>V16</f>
        <v>1.752</v>
      </c>
      <c r="W17" s="124" t="n">
        <f>ROUND(W12*(1+'项目技术经济指标'!$M$10),2)</f>
        <v>21.05</v>
      </c>
      <c r="X17" s="124" t="n">
        <f>ROUND(X12*(1+$X$3),2)+'总投资估算'!E3/2</f>
        <v>291.96</v>
      </c>
      <c r="Y17" s="124" t="n">
        <f>ROUND(P17*$Y$3,2)</f>
        <v>7.32</v>
      </c>
      <c r="Z17" s="124" t="n">
        <f>ROUND('税费计算'!P19,2)</f>
        <v>0</v>
      </c>
      <c r="AA17" s="124" t="n">
        <f>ROUND(SUM(T17:Z17),2)</f>
        <v>344.66</v>
      </c>
      <c r="AB17" s="70" t="n">
        <f>AA17-Z17</f>
        <v>344.66</v>
      </c>
    </row>
    <row r="18" ht="14.002500000000003" customHeight="1">
      <c r="A18" s="435"/>
      <c r="B18" s="85" t="n">
        <v>15</v>
      </c>
      <c r="C18" s="123" t="n">
        <f>C17</f>
        <v>0.75</v>
      </c>
      <c r="D18" s="124" t="n">
        <f>D17</f>
        <v>3.03</v>
      </c>
      <c r="E18" s="124" t="n">
        <f>E17</f>
        <v>1</v>
      </c>
      <c r="F18" s="124" t="n">
        <f>F17</f>
        <v>3000</v>
      </c>
      <c r="G18" s="124" t="n">
        <f>ROUND(C18*(D18+E18)*F18*365/10000,2)</f>
        <v>330.96</v>
      </c>
      <c r="H18" s="123" t="n">
        <f>H17</f>
        <v>0.75</v>
      </c>
      <c r="I18" s="124" t="n">
        <f>I17</f>
        <v>0.61</v>
      </c>
      <c r="J18" s="124" t="n">
        <f>J17</f>
        <v>2100</v>
      </c>
      <c r="K18" s="124" t="n">
        <f>ROUND(H18*I18*J18*365/10000,2)</f>
        <v>35.07</v>
      </c>
      <c r="L18" s="123" t="n">
        <f>H18</f>
        <v>0.75</v>
      </c>
      <c r="M18" s="124" t="n">
        <f>M17</f>
        <v>0</v>
      </c>
      <c r="N18" s="124" t="n">
        <f>N17</f>
        <v>0</v>
      </c>
      <c r="O18" s="124" t="n">
        <f>ROUND(L18*M18*N18*365/10000,2)</f>
        <v>0</v>
      </c>
      <c r="P18" s="129" t="n">
        <f>G18+K18+O18</f>
        <v>366.03</v>
      </c>
      <c r="R18" s="421"/>
      <c r="S18" s="85" t="n">
        <v>15</v>
      </c>
      <c r="T18" s="124" t="n">
        <f>$X$51*C18</f>
        <v>12.72465</v>
      </c>
      <c r="U18" s="136" t="n">
        <f>$AC$50*C18</f>
        <v>9.855</v>
      </c>
      <c r="V18" s="136" t="n">
        <f>V17</f>
        <v>1.752</v>
      </c>
      <c r="W18" s="124" t="n">
        <f>ROUND(W13*(1+'项目技术经济指标'!$M$10),2)</f>
        <v>21.05</v>
      </c>
      <c r="X18" s="124" t="n">
        <f>ROUND(X13*(1+$X$3),2)+'总投资估算'!E3/2</f>
        <v>291.96</v>
      </c>
      <c r="Y18" s="124" t="n">
        <f>ROUND(P18*$Y$3,2)</f>
        <v>7.32</v>
      </c>
      <c r="Z18" s="124" t="n">
        <f>ROUND('税费计算'!P20,2)</f>
        <v>0</v>
      </c>
      <c r="AA18" s="124" t="n">
        <f>ROUND(SUM(T18:Z18),2)</f>
        <v>344.66</v>
      </c>
      <c r="AB18" s="70" t="n">
        <f>AA18-Z18</f>
        <v>344.66</v>
      </c>
    </row>
    <row r="19" ht="14.002500000000003" customHeight="1">
      <c r="A19" s="435"/>
      <c r="B19" s="85" t="n">
        <v>16</v>
      </c>
      <c r="C19" s="123" t="n">
        <f>C18</f>
        <v>0.75</v>
      </c>
      <c r="D19" s="124" t="n">
        <f>D18</f>
        <v>3.03</v>
      </c>
      <c r="E19" s="124" t="n">
        <f>E18</f>
        <v>1</v>
      </c>
      <c r="F19" s="124" t="n">
        <f>F18</f>
        <v>3000</v>
      </c>
      <c r="G19" s="124" t="n">
        <f>ROUND(C19*(D19+E19)*F19*365/10000,2)</f>
        <v>330.96</v>
      </c>
      <c r="H19" s="123" t="n">
        <f>H18</f>
        <v>0.75</v>
      </c>
      <c r="I19" s="124" t="n">
        <f>I18</f>
        <v>0.61</v>
      </c>
      <c r="J19" s="124" t="n">
        <f>J18</f>
        <v>2100</v>
      </c>
      <c r="K19" s="124" t="n">
        <f>ROUND(H19*I19*J19*365/10000,2)</f>
        <v>35.07</v>
      </c>
      <c r="L19" s="123" t="n">
        <f>H19</f>
        <v>0.75</v>
      </c>
      <c r="M19" s="124" t="n">
        <f>M18</f>
        <v>0</v>
      </c>
      <c r="N19" s="124" t="n">
        <f>N18</f>
        <v>0</v>
      </c>
      <c r="O19" s="124" t="n">
        <f>ROUND(L19*M19*N19*365/10000,2)</f>
        <v>0</v>
      </c>
      <c r="P19" s="129" t="n">
        <f>G19+K19+O19</f>
        <v>366.03</v>
      </c>
      <c r="R19" s="421"/>
      <c r="S19" s="85" t="n">
        <v>16</v>
      </c>
      <c r="T19" s="124" t="n">
        <f>$X$51*C19</f>
        <v>12.72465</v>
      </c>
      <c r="U19" s="136" t="n">
        <f>$AC$50*C19</f>
        <v>9.855</v>
      </c>
      <c r="V19" s="136" t="n">
        <f>V18</f>
        <v>1.752</v>
      </c>
      <c r="W19" s="124" t="n">
        <f>ROUND(W14*(1+'项目技术经济指标'!$M$10),2)</f>
        <v>21.05</v>
      </c>
      <c r="X19" s="124" t="n">
        <f>ROUND(X14*(1+$X$3),2)</f>
        <v>9.51</v>
      </c>
      <c r="Y19" s="124" t="n">
        <f>ROUND(P19*$Y$3,2)</f>
        <v>7.32</v>
      </c>
      <c r="Z19" s="124" t="n">
        <f>ROUND('税费计算'!P21,2)</f>
        <v>0</v>
      </c>
      <c r="AA19" s="124" t="n">
        <f>ROUND(SUM(T19:Z19),2)</f>
        <v>62.21</v>
      </c>
      <c r="AB19" s="70" t="n">
        <f>AA19-Z19</f>
        <v>62.21</v>
      </c>
    </row>
    <row r="20" ht="14.002500000000003" customHeight="1">
      <c r="A20" s="435"/>
      <c r="B20" s="85" t="n">
        <v>17</v>
      </c>
      <c r="C20" s="123" t="n">
        <f>C19</f>
        <v>0.75</v>
      </c>
      <c r="D20" s="124" t="n">
        <f>ROUND(D15*$C$36,2)</f>
        <v>3.33</v>
      </c>
      <c r="E20" s="124" t="n">
        <f>E19</f>
        <v>1</v>
      </c>
      <c r="F20" s="124" t="n">
        <f>F19</f>
        <v>3000</v>
      </c>
      <c r="G20" s="124" t="n">
        <f>ROUND(C20*(D20+E20)*F20*365/10000,2)</f>
        <v>355.6</v>
      </c>
      <c r="H20" s="123" t="n">
        <f>H19</f>
        <v>0.75</v>
      </c>
      <c r="I20" s="124" t="n">
        <f>ROUND(I15*$C$36,2)</f>
        <v>0.67</v>
      </c>
      <c r="J20" s="124" t="n">
        <f>J19</f>
        <v>2100</v>
      </c>
      <c r="K20" s="124" t="n">
        <f>ROUND(H20*I20*J20*365/10000,2)</f>
        <v>38.52</v>
      </c>
      <c r="L20" s="123" t="n">
        <f>H20</f>
        <v>0.75</v>
      </c>
      <c r="M20" s="124" t="n">
        <f>ROUND(M19*$C$36,2)</f>
        <v>0</v>
      </c>
      <c r="N20" s="124" t="n">
        <f>N19</f>
        <v>0</v>
      </c>
      <c r="O20" s="124" t="n">
        <f>ROUND(L20*M20*N20*365/10000,2)</f>
        <v>0</v>
      </c>
      <c r="P20" s="129" t="n">
        <f>G20+K20+O20</f>
        <v>394.12</v>
      </c>
      <c r="R20" s="421"/>
      <c r="S20" s="85" t="n">
        <v>17</v>
      </c>
      <c r="T20" s="124" t="n">
        <f>$X$51*C20</f>
        <v>12.72465</v>
      </c>
      <c r="U20" s="136" t="n">
        <f>$AC$50*C20</f>
        <v>9.855</v>
      </c>
      <c r="V20" s="136" t="n">
        <f>V19</f>
        <v>1.752</v>
      </c>
      <c r="W20" s="124" t="n">
        <f>ROUND(W15*(1+'项目技术经济指标'!$M$10),2)</f>
        <v>23.16</v>
      </c>
      <c r="X20" s="124" t="n">
        <f>ROUND(X15*(1+$X$3),2)</f>
        <v>9.99</v>
      </c>
      <c r="Y20" s="124" t="n">
        <f>ROUND(P20*$Y$3,2)</f>
        <v>7.88</v>
      </c>
      <c r="Z20" s="124" t="n">
        <f>ROUND('税费计算'!P22,2)</f>
        <v>0</v>
      </c>
      <c r="AA20" s="124" t="n">
        <f>ROUND(SUM(T20:Z20),2)</f>
        <v>65.36</v>
      </c>
      <c r="AB20" s="70" t="n">
        <f>AA20-Z20</f>
        <v>65.36</v>
      </c>
    </row>
    <row r="21" ht="14.002500000000003" customHeight="1">
      <c r="A21" s="435"/>
      <c r="B21" s="85" t="n">
        <v>18</v>
      </c>
      <c r="C21" s="123" t="n">
        <f>C20</f>
        <v>0.75</v>
      </c>
      <c r="D21" s="124" t="n">
        <f>D20</f>
        <v>3.33</v>
      </c>
      <c r="E21" s="124" t="n">
        <f>E20</f>
        <v>1</v>
      </c>
      <c r="F21" s="124" t="n">
        <f>F20</f>
        <v>3000</v>
      </c>
      <c r="G21" s="124" t="n">
        <f>ROUND(C21*(D21+E21)*F21*365/10000,2)</f>
        <v>355.6</v>
      </c>
      <c r="H21" s="123" t="n">
        <f>H20</f>
        <v>0.75</v>
      </c>
      <c r="I21" s="124" t="n">
        <f>I20</f>
        <v>0.67</v>
      </c>
      <c r="J21" s="124" t="n">
        <f>J20</f>
        <v>2100</v>
      </c>
      <c r="K21" s="124" t="n">
        <f>ROUND(H21*I21*J21*365/10000,2)</f>
        <v>38.52</v>
      </c>
      <c r="L21" s="123" t="n">
        <f>H21</f>
        <v>0.75</v>
      </c>
      <c r="M21" s="124" t="n">
        <f>M20</f>
        <v>0</v>
      </c>
      <c r="N21" s="124" t="n">
        <f>N20</f>
        <v>0</v>
      </c>
      <c r="O21" s="124" t="n">
        <f>ROUND(L21*M21*N21*365/10000,2)</f>
        <v>0</v>
      </c>
      <c r="P21" s="129" t="n">
        <f>G21+K21+O21</f>
        <v>394.12</v>
      </c>
      <c r="R21" s="421"/>
      <c r="S21" s="85" t="n">
        <v>18</v>
      </c>
      <c r="T21" s="124" t="n">
        <f>$X$51*C21</f>
        <v>12.72465</v>
      </c>
      <c r="U21" s="136" t="n">
        <f>$AC$50*C21</f>
        <v>9.855</v>
      </c>
      <c r="V21" s="136" t="n">
        <f>V20</f>
        <v>1.752</v>
      </c>
      <c r="W21" s="124" t="n">
        <f>ROUND(W16*(1+'项目技术经济指标'!$M$10),2)</f>
        <v>23.16</v>
      </c>
      <c r="X21" s="124" t="n">
        <f>ROUND(X16*(1+$X$3),2)</f>
        <v>9.99</v>
      </c>
      <c r="Y21" s="124" t="n">
        <f>ROUND(P21*$Y$3,2)</f>
        <v>7.88</v>
      </c>
      <c r="Z21" s="124" t="n">
        <f>ROUND('税费计算'!P23,2)</f>
        <v>0</v>
      </c>
      <c r="AA21" s="124" t="n">
        <f>ROUND(SUM(T21:Z21),2)</f>
        <v>65.36</v>
      </c>
      <c r="AB21" s="70" t="n">
        <f>AA21-Z21</f>
        <v>65.36</v>
      </c>
    </row>
    <row r="22" ht="14.002500000000003" customHeight="1">
      <c r="A22" s="435"/>
      <c r="B22" s="85" t="n">
        <v>19</v>
      </c>
      <c r="C22" s="123" t="n">
        <f>C21</f>
        <v>0.75</v>
      </c>
      <c r="D22" s="124" t="n">
        <f>D21</f>
        <v>3.33</v>
      </c>
      <c r="E22" s="124" t="n">
        <f>E21</f>
        <v>1</v>
      </c>
      <c r="F22" s="124" t="n">
        <f>F21</f>
        <v>3000</v>
      </c>
      <c r="G22" s="124" t="n">
        <f>ROUND(C22*(D22+E22)*F22*365/10000,2)</f>
        <v>355.6</v>
      </c>
      <c r="H22" s="123" t="n">
        <f>H21</f>
        <v>0.75</v>
      </c>
      <c r="I22" s="124" t="n">
        <f>I21</f>
        <v>0.67</v>
      </c>
      <c r="J22" s="124" t="n">
        <f>J21</f>
        <v>2100</v>
      </c>
      <c r="K22" s="124" t="n">
        <f>ROUND(H22*I22*J22*365/10000,2)</f>
        <v>38.52</v>
      </c>
      <c r="L22" s="123" t="n">
        <f>H22</f>
        <v>0.75</v>
      </c>
      <c r="M22" s="124" t="n">
        <f>M21</f>
        <v>0</v>
      </c>
      <c r="N22" s="124" t="n">
        <f>N21</f>
        <v>0</v>
      </c>
      <c r="O22" s="124" t="n">
        <f>ROUND(L22*M22*N22*365/10000,2)</f>
        <v>0</v>
      </c>
      <c r="P22" s="129" t="n">
        <f>G22+K22+O22</f>
        <v>394.12</v>
      </c>
      <c r="R22" s="421"/>
      <c r="S22" s="85" t="n">
        <v>19</v>
      </c>
      <c r="T22" s="124" t="n">
        <f>$X$51*C22</f>
        <v>12.72465</v>
      </c>
      <c r="U22" s="136" t="n">
        <f>$AC$50*C22</f>
        <v>9.855</v>
      </c>
      <c r="V22" s="136" t="n">
        <f>V21</f>
        <v>1.752</v>
      </c>
      <c r="W22" s="124" t="n">
        <f>ROUND(W17*(1+'项目技术经济指标'!$M$10),2)</f>
        <v>23.16</v>
      </c>
      <c r="X22" s="124" t="n">
        <f>ROUND(X19*(1+$X$3),2)</f>
        <v>9.99</v>
      </c>
      <c r="Y22" s="124" t="n">
        <f>ROUND(P22*$Y$3,2)</f>
        <v>7.88</v>
      </c>
      <c r="Z22" s="124" t="n">
        <f>ROUND('税费计算'!P24,2)</f>
        <v>0</v>
      </c>
      <c r="AA22" s="124" t="n">
        <f>ROUND(SUM(T22:Z22),2)</f>
        <v>65.36</v>
      </c>
      <c r="AB22" s="70" t="n">
        <f>AA22-Z22</f>
        <v>65.36</v>
      </c>
    </row>
    <row r="23" ht="14.002500000000003" customHeight="1">
      <c r="A23" s="435"/>
      <c r="B23" s="85" t="n">
        <v>20</v>
      </c>
      <c r="C23" s="123" t="n">
        <f>C22</f>
        <v>0.75</v>
      </c>
      <c r="D23" s="124" t="n">
        <f>D22</f>
        <v>3.33</v>
      </c>
      <c r="E23" s="124" t="n">
        <f>E22</f>
        <v>1</v>
      </c>
      <c r="F23" s="124" t="n">
        <f>F22</f>
        <v>3000</v>
      </c>
      <c r="G23" s="124" t="n">
        <f>ROUND(C23*(D23+E23)*F23*365/10000,2)</f>
        <v>355.6</v>
      </c>
      <c r="H23" s="123" t="n">
        <f>H22</f>
        <v>0.75</v>
      </c>
      <c r="I23" s="124" t="n">
        <f>I22</f>
        <v>0.67</v>
      </c>
      <c r="J23" s="124" t="n">
        <f>J22</f>
        <v>2100</v>
      </c>
      <c r="K23" s="124" t="n">
        <f>ROUND(H23*I23*J23*365/10000,2)</f>
        <v>38.52</v>
      </c>
      <c r="L23" s="123" t="n">
        <f>H23</f>
        <v>0.75</v>
      </c>
      <c r="M23" s="124" t="n">
        <f>M22</f>
        <v>0</v>
      </c>
      <c r="N23" s="124" t="n">
        <f>N22</f>
        <v>0</v>
      </c>
      <c r="O23" s="124" t="n">
        <f>ROUND(L23*M23*N23*365/10000,2)</f>
        <v>0</v>
      </c>
      <c r="P23" s="129" t="n">
        <f>G23+K23+O23</f>
        <v>394.12</v>
      </c>
      <c r="R23" s="421"/>
      <c r="S23" s="85" t="n">
        <v>20</v>
      </c>
      <c r="T23" s="124" t="n">
        <f>$X$51*C23</f>
        <v>12.72465</v>
      </c>
      <c r="U23" s="136" t="n">
        <f>$AC$50*C23</f>
        <v>9.855</v>
      </c>
      <c r="V23" s="136" t="n">
        <f>V22</f>
        <v>1.752</v>
      </c>
      <c r="W23" s="124" t="n">
        <f>ROUND(W18*(1+'项目技术经济指标'!$M$10),2)</f>
        <v>23.16</v>
      </c>
      <c r="X23" s="124" t="n">
        <f>ROUND(X19*(1+$X$3),2)</f>
        <v>9.99</v>
      </c>
      <c r="Y23" s="124" t="n">
        <f>ROUND(P23*$Y$3,2)</f>
        <v>7.88</v>
      </c>
      <c r="Z23" s="124" t="n">
        <f>ROUND('税费计算'!P25,2)</f>
        <v>0</v>
      </c>
      <c r="AA23" s="124" t="n">
        <f>ROUND(SUM(T23:Z23),2)</f>
        <v>65.36</v>
      </c>
      <c r="AB23" s="70" t="n">
        <f>AA23-Z23</f>
        <v>65.36</v>
      </c>
    </row>
    <row r="24" ht="14.002500000000003" customHeight="1">
      <c r="A24" s="435"/>
      <c r="B24" s="85" t="n">
        <v>21</v>
      </c>
      <c r="C24" s="123" t="n">
        <f>C23</f>
        <v>0.75</v>
      </c>
      <c r="D24" s="124" t="n">
        <f>D23</f>
        <v>3.33</v>
      </c>
      <c r="E24" s="124" t="n">
        <f>E23</f>
        <v>1</v>
      </c>
      <c r="F24" s="124" t="n">
        <f>F23</f>
        <v>3000</v>
      </c>
      <c r="G24" s="124" t="n">
        <f>ROUND(C24*(D24+E24)*F24*365/10000,2)</f>
        <v>355.6</v>
      </c>
      <c r="H24" s="123" t="n">
        <f>H23</f>
        <v>0.75</v>
      </c>
      <c r="I24" s="124" t="n">
        <f>I23</f>
        <v>0.67</v>
      </c>
      <c r="J24" s="124" t="n">
        <f>J23</f>
        <v>2100</v>
      </c>
      <c r="K24" s="124" t="n">
        <f>ROUND(H24*I24*J24*365/10000,2)</f>
        <v>38.52</v>
      </c>
      <c r="L24" s="123" t="n">
        <f>H24</f>
        <v>0.75</v>
      </c>
      <c r="M24" s="124" t="n">
        <f>M23</f>
        <v>0</v>
      </c>
      <c r="N24" s="124" t="n">
        <f>N23</f>
        <v>0</v>
      </c>
      <c r="O24" s="124" t="n">
        <f>ROUND(L24*M24*N24*365/10000,2)</f>
        <v>0</v>
      </c>
      <c r="P24" s="129" t="n">
        <f>G24+K24+O24</f>
        <v>394.12</v>
      </c>
      <c r="R24" s="421"/>
      <c r="S24" s="85" t="n">
        <v>21</v>
      </c>
      <c r="T24" s="124" t="n">
        <f>$X$51*C24</f>
        <v>12.72465</v>
      </c>
      <c r="U24" s="136" t="n">
        <f>$AC$50*C24</f>
        <v>9.855</v>
      </c>
      <c r="V24" s="136" t="n">
        <f>V23</f>
        <v>1.752</v>
      </c>
      <c r="W24" s="124" t="n">
        <f>ROUND(W19*(1+'项目技术经济指标'!$M$10),2)</f>
        <v>23.16</v>
      </c>
      <c r="X24" s="124" t="n">
        <f>ROUND(X19*(1+$X$3),2)</f>
        <v>9.99</v>
      </c>
      <c r="Y24" s="124" t="n">
        <f>ROUND(P24*$Y$3,2)</f>
        <v>7.88</v>
      </c>
      <c r="Z24" s="124" t="n">
        <f>ROUND('税费计算'!P26,2)</f>
        <v>0</v>
      </c>
      <c r="AA24" s="124" t="n">
        <f>ROUND(SUM(T24:Z24),2)</f>
        <v>65.36</v>
      </c>
      <c r="AB24" s="70" t="n">
        <f>AA24-Z24</f>
        <v>65.36</v>
      </c>
    </row>
    <row r="25" ht="14.002500000000003" customHeight="1">
      <c r="A25" s="435"/>
      <c r="B25" s="85" t="n">
        <v>22</v>
      </c>
      <c r="C25" s="123" t="n">
        <f>C24</f>
        <v>0.75</v>
      </c>
      <c r="D25" s="124" t="n">
        <f>ROUND(D20*$C$36,2)</f>
        <v>3.66</v>
      </c>
      <c r="E25" s="124" t="n">
        <f>E24</f>
        <v>1</v>
      </c>
      <c r="F25" s="124" t="n">
        <f>F24</f>
        <v>3000</v>
      </c>
      <c r="G25" s="124" t="n">
        <f>ROUND(C25*(D25+E25)*F25*365/10000,2)</f>
        <v>382.7</v>
      </c>
      <c r="H25" s="123" t="n">
        <f>H24</f>
        <v>0.75</v>
      </c>
      <c r="I25" s="124" t="n">
        <f>ROUND(I20*$C$36,2)</f>
        <v>0.74</v>
      </c>
      <c r="J25" s="124" t="n">
        <f>J24</f>
        <v>2100</v>
      </c>
      <c r="K25" s="124" t="n">
        <f>ROUND(H25*I25*J25*365/10000,2)</f>
        <v>42.54</v>
      </c>
      <c r="L25" s="123" t="n">
        <f>H25</f>
        <v>0.75</v>
      </c>
      <c r="M25" s="124" t="n">
        <f>ROUND(M24*$C$36,2)</f>
        <v>0</v>
      </c>
      <c r="N25" s="124" t="n">
        <f>N24</f>
        <v>0</v>
      </c>
      <c r="O25" s="124" t="n">
        <f>ROUND(L25*M25*N25*365/10000,2)</f>
        <v>0</v>
      </c>
      <c r="P25" s="129" t="n">
        <f>G25+K25+O25</f>
        <v>425.24</v>
      </c>
      <c r="R25" s="421"/>
      <c r="S25" s="85" t="n">
        <v>22</v>
      </c>
      <c r="T25" s="124" t="n">
        <f>$X$51*C25</f>
        <v>12.72465</v>
      </c>
      <c r="U25" s="136" t="n">
        <f>$AC$50*C25</f>
        <v>9.855</v>
      </c>
      <c r="V25" s="136" t="n">
        <f>V24</f>
        <v>1.752</v>
      </c>
      <c r="W25" s="124" t="n">
        <f>ROUND(W20*(1+'项目技术经济指标'!$M$10),2)</f>
        <v>25.48</v>
      </c>
      <c r="X25" s="124" t="n">
        <f>ROUND(X20*(1+$X$3),2)</f>
        <v>10.49</v>
      </c>
      <c r="Y25" s="124" t="n">
        <f>ROUND(P25*$Y$3,2)</f>
        <v>8.5</v>
      </c>
      <c r="Z25" s="124" t="n">
        <f>ROUND('税费计算'!P27,2)</f>
        <v>0</v>
      </c>
      <c r="AA25" s="124" t="n">
        <f>ROUND(SUM(T25:Z25),2)</f>
        <v>68.8</v>
      </c>
      <c r="AB25" s="70" t="n">
        <f>AA25-Z25</f>
        <v>68.8</v>
      </c>
    </row>
    <row r="26" ht="14.002500000000003" customHeight="1">
      <c r="A26" s="435"/>
      <c r="B26" s="85" t="n">
        <v>23</v>
      </c>
      <c r="C26" s="123" t="n">
        <f>C25</f>
        <v>0.75</v>
      </c>
      <c r="D26" s="124" t="n">
        <f>D25</f>
        <v>3.66</v>
      </c>
      <c r="E26" s="124" t="n">
        <f>E25</f>
        <v>1</v>
      </c>
      <c r="F26" s="124" t="n">
        <f>F25</f>
        <v>3000</v>
      </c>
      <c r="G26" s="124" t="n">
        <f>ROUND(C26*(D26+E26)*F26*365/10000,2)</f>
        <v>382.7</v>
      </c>
      <c r="H26" s="123" t="n">
        <f>H25</f>
        <v>0.75</v>
      </c>
      <c r="I26" s="124" t="n">
        <f>I25</f>
        <v>0.74</v>
      </c>
      <c r="J26" s="124" t="n">
        <f>J25</f>
        <v>2100</v>
      </c>
      <c r="K26" s="124" t="n">
        <f>ROUND(H26*I26*J26*365/10000,2)</f>
        <v>42.54</v>
      </c>
      <c r="L26" s="123" t="n">
        <f>H26</f>
        <v>0.75</v>
      </c>
      <c r="M26" s="124" t="n">
        <f>M25</f>
        <v>0</v>
      </c>
      <c r="N26" s="124" t="n">
        <f>N25</f>
        <v>0</v>
      </c>
      <c r="O26" s="124" t="n">
        <f>ROUND(L26*M26*N26*365/10000,2)</f>
        <v>0</v>
      </c>
      <c r="P26" s="129" t="n">
        <f>G26+K26+O26</f>
        <v>425.24</v>
      </c>
      <c r="R26" s="421"/>
      <c r="S26" s="85" t="n">
        <v>23</v>
      </c>
      <c r="T26" s="124" t="n">
        <f>$X$51*C26</f>
        <v>12.72465</v>
      </c>
      <c r="U26" s="136" t="n">
        <f>$AC$50*C26</f>
        <v>9.855</v>
      </c>
      <c r="V26" s="136" t="n">
        <f>V25</f>
        <v>1.752</v>
      </c>
      <c r="W26" s="124" t="n">
        <f>ROUND(W21*(1+'项目技术经济指标'!$M$10),2)</f>
        <v>25.48</v>
      </c>
      <c r="X26" s="124" t="n">
        <f>ROUND(X21*(1+$X$3),2)</f>
        <v>10.49</v>
      </c>
      <c r="Y26" s="124" t="n">
        <f>ROUND(P26*$Y$3,2)</f>
        <v>8.5</v>
      </c>
      <c r="Z26" s="124" t="n">
        <f>ROUND('税费计算'!P28,2)</f>
        <v>0</v>
      </c>
      <c r="AA26" s="124" t="n">
        <f>ROUND(SUM(T26:Z26),2)</f>
        <v>68.8</v>
      </c>
      <c r="AB26" s="70" t="n">
        <f>AA26-Z26</f>
        <v>68.8</v>
      </c>
    </row>
    <row r="27" ht="14.002500000000003" customHeight="1">
      <c r="A27" s="435"/>
      <c r="B27" s="85" t="n">
        <v>24</v>
      </c>
      <c r="C27" s="123" t="n">
        <f>C26</f>
        <v>0.75</v>
      </c>
      <c r="D27" s="124" t="n">
        <f>D26</f>
        <v>3.66</v>
      </c>
      <c r="E27" s="124" t="n">
        <f>E26</f>
        <v>1</v>
      </c>
      <c r="F27" s="124" t="n">
        <f>F26</f>
        <v>3000</v>
      </c>
      <c r="G27" s="124" t="n">
        <f>ROUND(C27*(D27+E27)*F27*365/10000,2)</f>
        <v>382.7</v>
      </c>
      <c r="H27" s="123" t="n">
        <f>H26</f>
        <v>0.75</v>
      </c>
      <c r="I27" s="124" t="n">
        <f>I26</f>
        <v>0.74</v>
      </c>
      <c r="J27" s="124" t="n">
        <f>J26</f>
        <v>2100</v>
      </c>
      <c r="K27" s="124" t="n">
        <f>ROUND(H27*I27*J27*365/10000,2)</f>
        <v>42.54</v>
      </c>
      <c r="L27" s="123" t="n">
        <f>H27</f>
        <v>0.75</v>
      </c>
      <c r="M27" s="124" t="n">
        <f>M26</f>
        <v>0</v>
      </c>
      <c r="N27" s="124" t="n">
        <f>N26</f>
        <v>0</v>
      </c>
      <c r="O27" s="124" t="n">
        <f>ROUND(L27*M27*N27*365/10000,2)</f>
        <v>0</v>
      </c>
      <c r="P27" s="129" t="n">
        <f>G27+K27+O27</f>
        <v>425.24</v>
      </c>
      <c r="R27" s="421"/>
      <c r="S27" s="85" t="n">
        <v>24</v>
      </c>
      <c r="T27" s="124" t="n">
        <f>$X$51*C27</f>
        <v>12.72465</v>
      </c>
      <c r="U27" s="136" t="n">
        <f>$AC$50*C27</f>
        <v>9.855</v>
      </c>
      <c r="V27" s="136" t="n">
        <f>V26</f>
        <v>1.752</v>
      </c>
      <c r="W27" s="124" t="n">
        <f>ROUND(W22*(1+'项目技术经济指标'!$M$10),2)</f>
        <v>25.48</v>
      </c>
      <c r="X27" s="124" t="n">
        <f>ROUND(X22*(1+$X$3),2)</f>
        <v>10.49</v>
      </c>
      <c r="Y27" s="124" t="n">
        <f>ROUND(P27*$Y$3,2)</f>
        <v>8.5</v>
      </c>
      <c r="Z27" s="124" t="n">
        <f>ROUND('税费计算'!P29,2)</f>
        <v>10.57</v>
      </c>
      <c r="AA27" s="124" t="n">
        <f>ROUND(SUM(T27:Z27),2)</f>
        <v>79.37</v>
      </c>
      <c r="AB27" s="70" t="n">
        <f>AA27-Z27</f>
        <v>68.8</v>
      </c>
    </row>
    <row r="28" ht="14.002500000000003" customHeight="1">
      <c r="A28" s="435"/>
      <c r="B28" s="85" t="n">
        <v>25</v>
      </c>
      <c r="C28" s="123" t="n">
        <f>C27</f>
        <v>0.75</v>
      </c>
      <c r="D28" s="124" t="n">
        <f>D27</f>
        <v>3.66</v>
      </c>
      <c r="E28" s="124" t="n">
        <f>E27</f>
        <v>1</v>
      </c>
      <c r="F28" s="124" t="n">
        <f>F27</f>
        <v>3000</v>
      </c>
      <c r="G28" s="124" t="n">
        <f>ROUND(C28*(D28+E28)*F28*365/10000,2)</f>
        <v>382.7</v>
      </c>
      <c r="H28" s="123" t="n">
        <f>H27</f>
        <v>0.75</v>
      </c>
      <c r="I28" s="124" t="n">
        <f>I27</f>
        <v>0.74</v>
      </c>
      <c r="J28" s="124" t="n">
        <f>J27</f>
        <v>2100</v>
      </c>
      <c r="K28" s="124" t="n">
        <f>ROUND(H28*I28*J28*365/10000,2)</f>
        <v>42.54</v>
      </c>
      <c r="L28" s="123" t="n">
        <f>H28</f>
        <v>0.75</v>
      </c>
      <c r="M28" s="124" t="n">
        <f>M27</f>
        <v>0</v>
      </c>
      <c r="N28" s="124" t="n">
        <f>N27</f>
        <v>0</v>
      </c>
      <c r="O28" s="124" t="n">
        <f>ROUND(L28*M28*N28*365/10000,2)</f>
        <v>0</v>
      </c>
      <c r="P28" s="129" t="n">
        <f>G28+K28+O28</f>
        <v>425.24</v>
      </c>
      <c r="R28" s="421"/>
      <c r="S28" s="85" t="n">
        <v>25</v>
      </c>
      <c r="T28" s="124" t="n">
        <f>$X$51*C28</f>
        <v>12.72465</v>
      </c>
      <c r="U28" s="136" t="n">
        <f>$AC$50*C28</f>
        <v>9.855</v>
      </c>
      <c r="V28" s="136" t="n">
        <f>V27</f>
        <v>1.752</v>
      </c>
      <c r="W28" s="124" t="n">
        <f>ROUND(W23*(1+'项目技术经济指标'!$M$10),2)</f>
        <v>25.48</v>
      </c>
      <c r="X28" s="124" t="n">
        <f>ROUND(X23*(1+$X$3),2)</f>
        <v>10.49</v>
      </c>
      <c r="Y28" s="124" t="n">
        <f>ROUND(P28*$Y$3,2)</f>
        <v>8.5</v>
      </c>
      <c r="Z28" s="124" t="n">
        <f>ROUND('税费计算'!P30,2)</f>
        <v>25.79</v>
      </c>
      <c r="AA28" s="124" t="n">
        <f>ROUND(SUM(T28:Z28),2)</f>
        <v>94.59</v>
      </c>
      <c r="AB28" s="70" t="n">
        <f>AA28-Z28</f>
        <v>68.8</v>
      </c>
    </row>
    <row r="29" ht="14.002500000000003" customHeight="1">
      <c r="A29" s="435"/>
      <c r="B29" s="85" t="n">
        <v>26</v>
      </c>
      <c r="C29" s="123" t="n">
        <f>C28</f>
        <v>0.75</v>
      </c>
      <c r="D29" s="124" t="n">
        <f>D28</f>
        <v>3.66</v>
      </c>
      <c r="E29" s="124" t="n">
        <f>E28</f>
        <v>1</v>
      </c>
      <c r="F29" s="124" t="n">
        <f>F28</f>
        <v>3000</v>
      </c>
      <c r="G29" s="124" t="n">
        <f>ROUND(C29*(D29+E29)*F29*365/10000,2)</f>
        <v>382.7</v>
      </c>
      <c r="H29" s="123" t="n">
        <f>H28</f>
        <v>0.75</v>
      </c>
      <c r="I29" s="124" t="n">
        <f>I28</f>
        <v>0.74</v>
      </c>
      <c r="J29" s="124" t="n">
        <f>J28</f>
        <v>2100</v>
      </c>
      <c r="K29" s="124" t="n">
        <f>ROUND(H29*I29*J29*365/10000,2)</f>
        <v>42.54</v>
      </c>
      <c r="L29" s="123" t="n">
        <f>H29</f>
        <v>0.75</v>
      </c>
      <c r="M29" s="124" t="n">
        <f>M28</f>
        <v>0</v>
      </c>
      <c r="N29" s="124" t="n">
        <f>N28</f>
        <v>0</v>
      </c>
      <c r="O29" s="124" t="n">
        <f>ROUND(L29*M29*N29*365/10000,2)</f>
        <v>0</v>
      </c>
      <c r="P29" s="129" t="n">
        <f>G29+K29+O29</f>
        <v>425.24</v>
      </c>
      <c r="R29" s="421"/>
      <c r="S29" s="85" t="n">
        <v>26</v>
      </c>
      <c r="T29" s="124" t="n">
        <f>$X$51*C29</f>
        <v>12.72465</v>
      </c>
      <c r="U29" s="136" t="n">
        <f>$AC$50*C29</f>
        <v>9.855</v>
      </c>
      <c r="V29" s="136" t="n">
        <f>V28</f>
        <v>1.752</v>
      </c>
      <c r="W29" s="124" t="n">
        <f>ROUND(W24*(1+'项目技术经济指标'!$M$10),2)</f>
        <v>25.48</v>
      </c>
      <c r="X29" s="124" t="n">
        <f>ROUND(X24*(1+$X$3),2)</f>
        <v>10.49</v>
      </c>
      <c r="Y29" s="124" t="n">
        <f>ROUND(P29*$Y$3,2)</f>
        <v>8.5</v>
      </c>
      <c r="Z29" s="124" t="n">
        <f>ROUND('税费计算'!P31,2)</f>
        <v>28.01</v>
      </c>
      <c r="AA29" s="124" t="n">
        <f>ROUND(SUM(T29:Z29),2)</f>
        <v>96.81</v>
      </c>
      <c r="AB29" s="70" t="n">
        <f>AA29-Z29</f>
        <v>68.8</v>
      </c>
    </row>
    <row r="30" ht="14.002500000000003" customHeight="1">
      <c r="A30" s="435"/>
      <c r="B30" s="85" t="n">
        <v>27</v>
      </c>
      <c r="C30" s="123" t="n">
        <f>C29</f>
        <v>0.75</v>
      </c>
      <c r="D30" s="124" t="n">
        <f>ROUND(D25*$C$36,2)</f>
        <v>4.03</v>
      </c>
      <c r="E30" s="124" t="n">
        <f>E29</f>
        <v>1</v>
      </c>
      <c r="F30" s="124" t="n">
        <f>F29</f>
        <v>3000</v>
      </c>
      <c r="G30" s="124" t="n">
        <f>ROUND(C30*(D30+E30)*F30*365/10000,2)</f>
        <v>413.09</v>
      </c>
      <c r="H30" s="123" t="n">
        <f>H29</f>
        <v>0.75</v>
      </c>
      <c r="I30" s="124" t="n">
        <f>ROUND(I25*$C$36,2)</f>
        <v>0.81</v>
      </c>
      <c r="J30" s="124" t="n">
        <f>J29</f>
        <v>2100</v>
      </c>
      <c r="K30" s="124" t="n">
        <f>ROUND(H30*I30*J30*365/10000,2)</f>
        <v>46.56</v>
      </c>
      <c r="L30" s="123" t="n">
        <f>H30</f>
        <v>0.75</v>
      </c>
      <c r="M30" s="124" t="n">
        <f>ROUND(M29*$C$36,2)</f>
        <v>0</v>
      </c>
      <c r="N30" s="124" t="n">
        <f>N29</f>
        <v>0</v>
      </c>
      <c r="O30" s="124" t="n">
        <f>ROUND(L30*M30*N30*365/10000,2)</f>
        <v>0</v>
      </c>
      <c r="P30" s="129" t="n">
        <f>G30+K30+O30</f>
        <v>459.65</v>
      </c>
      <c r="R30" s="421"/>
      <c r="S30" s="85" t="n">
        <v>27</v>
      </c>
      <c r="T30" s="124" t="n">
        <f>$X$51*C30</f>
        <v>12.72465</v>
      </c>
      <c r="U30" s="136" t="n">
        <f>$AC$50*C30</f>
        <v>9.855</v>
      </c>
      <c r="V30" s="136" t="n">
        <f>V29</f>
        <v>1.752</v>
      </c>
      <c r="W30" s="124" t="n">
        <f>ROUND(W25*(1+'项目技术经济指标'!$M$10),2)</f>
        <v>28.03</v>
      </c>
      <c r="X30" s="124" t="n">
        <f>ROUND(X25*(1+$X$3),2)</f>
        <v>11.01</v>
      </c>
      <c r="Y30" s="124" t="n">
        <f>ROUND(P30*$Y$3,2)</f>
        <v>9.19</v>
      </c>
      <c r="Z30" s="124" t="n">
        <f>ROUND('税费计算'!P32,2)</f>
        <v>28.01</v>
      </c>
      <c r="AA30" s="124" t="n">
        <f>ROUND(SUM(T30:Z30),2)</f>
        <v>100.57</v>
      </c>
      <c r="AB30" s="70" t="n">
        <f>AA30-Z30</f>
        <v>72.56</v>
      </c>
    </row>
    <row r="31" ht="14.002500000000003" customHeight="1">
      <c r="A31" s="435"/>
      <c r="B31" s="85" t="n">
        <v>28</v>
      </c>
      <c r="C31" s="123" t="n">
        <f>C30</f>
        <v>0.75</v>
      </c>
      <c r="D31" s="124" t="n">
        <f>D30</f>
        <v>4.03</v>
      </c>
      <c r="E31" s="124" t="n">
        <f>E30</f>
        <v>1</v>
      </c>
      <c r="F31" s="124" t="n">
        <f>F30</f>
        <v>3000</v>
      </c>
      <c r="G31" s="124" t="n">
        <f>ROUND(C31*(D31+E31)*F31*365/10000,2)</f>
        <v>413.09</v>
      </c>
      <c r="H31" s="123" t="n">
        <f>H30</f>
        <v>0.75</v>
      </c>
      <c r="I31" s="124" t="n">
        <f>I30</f>
        <v>0.81</v>
      </c>
      <c r="J31" s="124" t="n">
        <f>J30</f>
        <v>2100</v>
      </c>
      <c r="K31" s="124" t="n">
        <f>ROUND(H31*I31*J31*365/10000,2)</f>
        <v>46.56</v>
      </c>
      <c r="L31" s="123" t="n">
        <f>H31</f>
        <v>0.75</v>
      </c>
      <c r="M31" s="124" t="n">
        <f>M30</f>
        <v>0</v>
      </c>
      <c r="N31" s="124" t="n">
        <f>N30</f>
        <v>0</v>
      </c>
      <c r="O31" s="124" t="n">
        <f>ROUND(L31*M31*N31*365/10000,2)</f>
        <v>0</v>
      </c>
      <c r="P31" s="129" t="n">
        <f>G31+K31+O31</f>
        <v>459.65</v>
      </c>
      <c r="R31" s="421"/>
      <c r="S31" s="85" t="n">
        <v>28</v>
      </c>
      <c r="T31" s="124" t="n">
        <f>$X$51*C31</f>
        <v>12.72465</v>
      </c>
      <c r="U31" s="136" t="n">
        <f>$AC$50*C31</f>
        <v>9.855</v>
      </c>
      <c r="V31" s="136" t="n">
        <f>V30</f>
        <v>1.752</v>
      </c>
      <c r="W31" s="124" t="n">
        <f>ROUND(W26*(1+'项目技术经济指标'!$M$10),2)</f>
        <v>28.03</v>
      </c>
      <c r="X31" s="124" t="n">
        <f>ROUND(X26*(1+$X$3),2)</f>
        <v>11.01</v>
      </c>
      <c r="Y31" s="124" t="n">
        <f>ROUND(P31*$Y$3,2)</f>
        <v>9.19</v>
      </c>
      <c r="Z31" s="124" t="n">
        <f>ROUND('税费计算'!P33,2)</f>
        <v>28.01</v>
      </c>
      <c r="AA31" s="124" t="n">
        <f>ROUND(SUM(T31:Z31),2)</f>
        <v>100.57</v>
      </c>
      <c r="AB31" s="70" t="n">
        <f>AA31-Z31</f>
        <v>72.56</v>
      </c>
    </row>
    <row r="32" ht="14.002500000000003" customHeight="1">
      <c r="A32" s="435"/>
      <c r="B32" s="85" t="n">
        <v>29</v>
      </c>
      <c r="C32" s="123" t="n">
        <f>C31</f>
        <v>0.75</v>
      </c>
      <c r="D32" s="124" t="n">
        <f>D31</f>
        <v>4.03</v>
      </c>
      <c r="E32" s="124" t="n">
        <f>E31</f>
        <v>1</v>
      </c>
      <c r="F32" s="124" t="n">
        <f>F31</f>
        <v>3000</v>
      </c>
      <c r="G32" s="124" t="n">
        <f>ROUND(C32*(D32+E32)*F32*365/10000,2)</f>
        <v>413.09</v>
      </c>
      <c r="H32" s="123" t="n">
        <f>H31</f>
        <v>0.75</v>
      </c>
      <c r="I32" s="124" t="n">
        <f>I31</f>
        <v>0.81</v>
      </c>
      <c r="J32" s="124" t="n">
        <f>J31</f>
        <v>2100</v>
      </c>
      <c r="K32" s="124" t="n">
        <f>ROUND(H32*I32*J32*365/10000,2)</f>
        <v>46.56</v>
      </c>
      <c r="L32" s="123" t="n">
        <f>H32</f>
        <v>0.75</v>
      </c>
      <c r="M32" s="124" t="n">
        <f>M31</f>
        <v>0</v>
      </c>
      <c r="N32" s="124" t="n">
        <f>N31</f>
        <v>0</v>
      </c>
      <c r="O32" s="124" t="n">
        <f>ROUND(L32*M32*N32*365/10000,2)</f>
        <v>0</v>
      </c>
      <c r="P32" s="129" t="n">
        <f>G32+K32+O32</f>
        <v>459.65</v>
      </c>
      <c r="R32" s="421"/>
      <c r="S32" s="85" t="n">
        <v>29</v>
      </c>
      <c r="T32" s="124" t="n">
        <f>$X$51*C32</f>
        <v>12.72465</v>
      </c>
      <c r="U32" s="136" t="n">
        <f>$AC$50*C32</f>
        <v>9.855</v>
      </c>
      <c r="V32" s="136" t="n">
        <f>V31</f>
        <v>1.752</v>
      </c>
      <c r="W32" s="124" t="n">
        <f>ROUND(W27*(1+'项目技术经济指标'!$M$10),2)</f>
        <v>28.03</v>
      </c>
      <c r="X32" s="124" t="n">
        <f>ROUND(X27*(1+$X$3),2)</f>
        <v>11.01</v>
      </c>
      <c r="Y32" s="124" t="n">
        <f>ROUND(P32*$Y$3,2)</f>
        <v>9.19</v>
      </c>
      <c r="Z32" s="124" t="n">
        <f>ROUND('税费计算'!P34,2)</f>
        <v>28.01</v>
      </c>
      <c r="AA32" s="124" t="n">
        <f>ROUND(SUM(T32:Z32),2)</f>
        <v>100.57</v>
      </c>
      <c r="AB32" s="70" t="n">
        <f>AA32-Z32</f>
        <v>72.56</v>
      </c>
    </row>
    <row r="33" ht="14.002500000000003" customHeight="1">
      <c r="A33" s="435"/>
      <c r="B33" s="85" t="n">
        <v>30</v>
      </c>
      <c r="C33" s="123" t="n">
        <f>C32</f>
        <v>0.75</v>
      </c>
      <c r="D33" s="124" t="n">
        <f>D32</f>
        <v>4.03</v>
      </c>
      <c r="E33" s="124" t="n">
        <f>E32</f>
        <v>1</v>
      </c>
      <c r="F33" s="124" t="n">
        <f>F32</f>
        <v>3000</v>
      </c>
      <c r="G33" s="124" t="n">
        <f>ROUND(C33*(D33+E33)*F33*365/10000,2)</f>
        <v>413.09</v>
      </c>
      <c r="H33" s="123" t="n">
        <f>H32</f>
        <v>0.75</v>
      </c>
      <c r="I33" s="124" t="n">
        <f>I32</f>
        <v>0.81</v>
      </c>
      <c r="J33" s="124" t="n">
        <f>J32</f>
        <v>2100</v>
      </c>
      <c r="K33" s="124" t="n">
        <f>ROUND(H33*I33*J33*365/10000,2)</f>
        <v>46.56</v>
      </c>
      <c r="L33" s="123" t="n">
        <f>H33</f>
        <v>0.75</v>
      </c>
      <c r="M33" s="124" t="n">
        <f>M32</f>
        <v>0</v>
      </c>
      <c r="N33" s="124" t="n">
        <f>N32</f>
        <v>0</v>
      </c>
      <c r="O33" s="124" t="n">
        <f>ROUND(L33*M33*N33*365/10000,2)</f>
        <v>0</v>
      </c>
      <c r="P33" s="129" t="n">
        <f>G33+K33+O33</f>
        <v>459.65</v>
      </c>
      <c r="R33" s="421"/>
      <c r="S33" s="85" t="n">
        <v>30</v>
      </c>
      <c r="T33" s="124" t="n">
        <f>$X$51*C33</f>
        <v>12.72465</v>
      </c>
      <c r="U33" s="136" t="n">
        <f>$AC$50*C33</f>
        <v>9.855</v>
      </c>
      <c r="V33" s="136" t="n">
        <f>V32</f>
        <v>1.752</v>
      </c>
      <c r="W33" s="124" t="n">
        <f>ROUND(W28*(1+'项目技术经济指标'!$M$10),2)</f>
        <v>28.03</v>
      </c>
      <c r="X33" s="124" t="n">
        <f>ROUND(X28*(1+$X$3),2)</f>
        <v>11.01</v>
      </c>
      <c r="Y33" s="124" t="n">
        <f>ROUND(P33*$Y$3,2)</f>
        <v>9.19</v>
      </c>
      <c r="Z33" s="124" t="n">
        <f>ROUND('税费计算'!P35,2)</f>
        <v>0</v>
      </c>
      <c r="AA33" s="124" t="n">
        <f>ROUND(SUM(T33:Z33),2)</f>
        <v>72.56</v>
      </c>
      <c r="AB33" s="70" t="n">
        <f>AA33-Z33</f>
        <v>72.56</v>
      </c>
    </row>
    <row r="34" ht="14.002500000000003" customHeight="1" hidden="1">
      <c r="A34" s="435"/>
      <c r="B34" s="125"/>
      <c r="C34" s="123"/>
      <c r="D34" s="124"/>
      <c r="E34" s="124"/>
      <c r="F34" s="124"/>
      <c r="G34" s="124"/>
      <c r="H34" s="123"/>
      <c r="I34" s="124"/>
      <c r="J34" s="124"/>
      <c r="K34" s="124"/>
      <c r="L34" s="123"/>
      <c r="M34" s="124"/>
      <c r="N34" s="124"/>
      <c r="O34" s="124"/>
      <c r="P34" s="129"/>
      <c r="R34" s="422"/>
      <c r="S34" s="85"/>
      <c r="T34" s="85"/>
      <c r="U34" s="136"/>
      <c r="V34" s="136" t="n">
        <f>V33</f>
        <v>1.752</v>
      </c>
      <c r="W34" s="124"/>
      <c r="X34" s="124"/>
      <c r="Y34" s="124"/>
      <c r="Z34" s="124"/>
      <c r="AA34" s="124"/>
    </row>
    <row r="35" ht="14.002500000000003" customHeight="1">
      <c r="A35" s="431" t="s">
        <v>195</v>
      </c>
      <c r="B35" s="431"/>
      <c r="C35" s="126"/>
      <c r="D35" s="126"/>
      <c r="E35" s="126"/>
      <c r="F35" s="126"/>
      <c r="G35" s="126" t="n">
        <f>SUM(G4:G34)</f>
        <v>9688.27</v>
      </c>
      <c r="H35" s="126"/>
      <c r="I35" s="126"/>
      <c r="J35" s="126"/>
      <c r="K35" s="126" t="n">
        <f>SUM(K4:K34)</f>
        <v>1039.97</v>
      </c>
      <c r="L35" s="124"/>
      <c r="M35" s="124"/>
      <c r="N35" s="126"/>
      <c r="O35" s="126" t="n">
        <f>SUM(O4:O34)</f>
        <v>0</v>
      </c>
      <c r="P35" s="130" t="n">
        <f>SUM(P4:P34)</f>
        <v>10728.24</v>
      </c>
      <c r="R35" s="431" t="s">
        <v>195</v>
      </c>
      <c r="S35" s="431"/>
      <c r="T35" s="126" t="n">
        <f>SUM(T4:T34)</f>
        <v>356.2902</v>
      </c>
      <c r="U35" s="126" t="n">
        <f>SUM(U4:U34)</f>
        <v>275.94</v>
      </c>
      <c r="V35" s="126" t="n">
        <f>SUM(V4:V34)</f>
        <v>52.56</v>
      </c>
      <c r="W35" s="126" t="n">
        <f>SUM(W4:W34)</f>
        <v>643.27</v>
      </c>
      <c r="X35" s="126" t="n">
        <f>SUM(X4:X34)</f>
        <v>847.34</v>
      </c>
      <c r="Y35" s="126" t="n">
        <f>SUM(Y4:Y34)</f>
        <v>214.51</v>
      </c>
      <c r="Z35" s="126" t="n">
        <f>SUM(Z4:Z34)</f>
        <v>148.4</v>
      </c>
      <c r="AA35" s="126" t="n">
        <f>SUM(AA4:AA34)</f>
        <v>2536.53</v>
      </c>
      <c r="AB35" s="145" t="n">
        <f>SUM(AB5:AB34)</f>
        <v>2388.13</v>
      </c>
      <c r="AC35" s="207" t="n">
        <f>P35-AA35</f>
        <v>8191.71</v>
      </c>
    </row>
    <row r="36" ht="14.002500000000003" customHeight="1">
      <c r="C36" s="70" t="n">
        <v>1.1</v>
      </c>
    </row>
    <row r="37" ht="14.002500000000003" customHeight="1">
      <c r="C37" s="127"/>
    </row>
    <row r="45" ht="14.002500000000003" customHeight="1">
      <c r="T45" s="432" t="s">
        <v>357</v>
      </c>
      <c r="U45" s="432"/>
      <c r="V45" s="432"/>
      <c r="W45" s="432"/>
      <c r="X45" s="432"/>
    </row>
    <row r="46" ht="42" customHeight="1">
      <c r="T46" s="341" t="s">
        <v>358</v>
      </c>
      <c r="U46" s="5" t="s">
        <v>359</v>
      </c>
      <c r="V46" s="5"/>
      <c r="W46" s="341" t="s">
        <v>360</v>
      </c>
      <c r="X46" s="341" t="s">
        <v>361</v>
      </c>
      <c r="Y46" s="138" t="s">
        <v>362</v>
      </c>
      <c r="Z46" s="558" t="s">
        <v>363</v>
      </c>
      <c r="AA46" s="146" t="s">
        <v>364</v>
      </c>
      <c r="AB46" s="138" t="s">
        <v>365</v>
      </c>
      <c r="AC46" s="138" t="s">
        <v>366</v>
      </c>
    </row>
    <row r="47" ht="14.002500000000003" customHeight="1">
      <c r="T47" s="139" t="s">
        <v>367</v>
      </c>
      <c r="U47" s="140" t="n">
        <f>$F$5/20000*160</f>
        <v>24</v>
      </c>
      <c r="V47" s="140"/>
      <c r="W47" s="141" t="n">
        <v>1800</v>
      </c>
      <c r="X47" s="142" t="n">
        <f>U47*W47/10000</f>
        <v>4.32</v>
      </c>
      <c r="Y47" s="143" t="n">
        <f>F5</f>
        <v>3000</v>
      </c>
      <c r="Z47" s="137" t="n">
        <v>1</v>
      </c>
      <c r="AA47" s="147" t="n">
        <f>Y47/10000*Z47*365</f>
        <v>109.5</v>
      </c>
      <c r="AB47" s="148" t="n">
        <v>160</v>
      </c>
      <c r="AC47" s="147" t="n">
        <f>AA47*AB47/10000</f>
        <v>1.752</v>
      </c>
    </row>
    <row r="48" ht="14.002500000000003" customHeight="1">
      <c r="T48" s="139" t="s">
        <v>368</v>
      </c>
      <c r="U48" s="140" t="n">
        <f>$F$5/20000*7.8</f>
        <v>1.17</v>
      </c>
      <c r="V48" s="140"/>
      <c r="W48" s="141" t="n">
        <v>28600</v>
      </c>
      <c r="X48" s="142" t="n">
        <f>U48*W48/10000</f>
        <v>3.3462</v>
      </c>
    </row>
    <row r="49" ht="28" customHeight="1">
      <c r="T49" s="141" t="s">
        <v>369</v>
      </c>
      <c r="U49" s="140" t="n">
        <f>$F$5/20000*125</f>
        <v>18.75</v>
      </c>
      <c r="V49" s="140"/>
      <c r="W49" s="141" t="n">
        <v>2200</v>
      </c>
      <c r="X49" s="142" t="n">
        <f>U49*W49/10000</f>
        <v>4.125</v>
      </c>
      <c r="Y49" s="5" t="s">
        <v>362</v>
      </c>
      <c r="Z49" s="5" t="s">
        <v>370</v>
      </c>
      <c r="AA49" s="5" t="s">
        <v>371</v>
      </c>
      <c r="AB49" s="5" t="s">
        <v>372</v>
      </c>
      <c r="AC49" s="5" t="s">
        <v>373</v>
      </c>
    </row>
    <row r="50" ht="14.002500000000003" customHeight="1">
      <c r="T50" s="139" t="s">
        <v>374</v>
      </c>
      <c r="U50" s="140" t="n">
        <f>$F$5/20000*115</f>
        <v>17.25</v>
      </c>
      <c r="V50" s="140"/>
      <c r="W50" s="141" t="n">
        <v>3000</v>
      </c>
      <c r="X50" s="142" t="n">
        <f>U50*W50/10000</f>
        <v>5.175</v>
      </c>
      <c r="Y50" s="143" t="n">
        <f>Y47</f>
        <v>3000</v>
      </c>
      <c r="Z50" s="143" t="n">
        <v>0.2</v>
      </c>
      <c r="AA50" s="143" t="n">
        <v>365</v>
      </c>
      <c r="AB50" s="143" t="n">
        <v>0.6</v>
      </c>
      <c r="AC50" s="143" t="n">
        <f>ROUND(Y50*Z50*AA50*AB50/10000,2)</f>
        <v>13.14</v>
      </c>
    </row>
    <row r="51" ht="14.002500000000003" customHeight="1">
      <c r="T51" s="137" t="s">
        <v>195</v>
      </c>
      <c r="U51" s="137"/>
      <c r="V51" s="137"/>
      <c r="W51" s="137"/>
      <c r="X51" s="142" t="n">
        <f>SUM(X47:X50)</f>
        <v>16.9662</v>
      </c>
    </row>
    <row r="52" ht="14.002500000000003" customHeight="1">
      <c r="AA52" s="149"/>
    </row>
    <row r="54" ht="14.002500000000003" customHeight="1">
      <c r="T54" s="433" t="s">
        <v>375</v>
      </c>
      <c r="U54" s="433"/>
      <c r="V54" s="433"/>
      <c r="W54" s="433"/>
      <c r="X54" s="433"/>
    </row>
  </sheetData>
  <mergeCells count="33">
    <mergeCell ref="D2:D3"/>
    <mergeCell ref="A1:A3"/>
    <mergeCell ref="H1:K1"/>
    <mergeCell ref="O2:O3"/>
    <mergeCell ref="C2:C3"/>
    <mergeCell ref="G2:G3"/>
    <mergeCell ref="J2:J3"/>
    <mergeCell ref="R2:R3"/>
    <mergeCell ref="I2:I3"/>
    <mergeCell ref="F2:F3"/>
    <mergeCell ref="T45:X45"/>
    <mergeCell ref="W2:W3"/>
    <mergeCell ref="R1:W1"/>
    <mergeCell ref="C1:G1"/>
    <mergeCell ref="S2:S3"/>
    <mergeCell ref="A35:B35"/>
    <mergeCell ref="K2:K3"/>
    <mergeCell ref="Z2:Z3"/>
    <mergeCell ref="L1:O1"/>
    <mergeCell ref="E2:E3"/>
    <mergeCell ref="R35:S35"/>
    <mergeCell ref="L2:L3"/>
    <mergeCell ref="P1:P3"/>
    <mergeCell ref="Y1:AA1"/>
    <mergeCell ref="AA2:AA3"/>
    <mergeCell ref="N2:N3"/>
    <mergeCell ref="H2:H3"/>
    <mergeCell ref="A5:A34"/>
    <mergeCell ref="M2:M3"/>
    <mergeCell ref="AB2:AB3"/>
    <mergeCell ref="B1:B3"/>
    <mergeCell ref="R5:R34"/>
    <mergeCell ref="T54:X54"/>
  </mergeCells>
  <phoneticPr fontId="1"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1" max="1" width="5.666015625" customWidth="1" style="103"/>
    <col min="2" max="2" width="12.83203125" customWidth="1" style="104"/>
    <col min="3" max="3" width="6.1640625" customWidth="1" style="104"/>
    <col min="4" max="4" width="8.8330078125" customWidth="1" style="104"/>
    <col min="5" max="5" width="6.1640625" customWidth="1" style="104"/>
    <col min="6" max="6" width="9.1640625" customWidth="1" style="104"/>
    <col min="7" max="7" width="14.8330078125" customWidth="1" style="104"/>
    <col min="8" max="9" width="9.3310546875" customWidth="1" style="104"/>
    <col min="10" max="10" width="10.6640625" customWidth="1" style="104"/>
    <col min="11" max="11" width="10.3330078125" customWidth="1" style="104"/>
    <col min="12" max="12" width="9.1640625" customWidth="1" style="104"/>
    <col min="13" max="13" width="7.166015625" customWidth="1" style="104"/>
    <col min="14" max="14" width="11.8330078125" customWidth="1" style="104"/>
    <col min="15" max="15" width="12.9990234375" hidden="1" customWidth="1" style="105"/>
    <col min="16" max="16" width="12.9990234375" customWidth="1" style="104"/>
    <col min="17" max="17" width="6.498046875" customWidth="1" style="104"/>
    <col min="18" max="18" width="15.9990234375" customWidth="1" style="104"/>
    <col min="19" max="19" width="11.666015625" customWidth="1" style="104"/>
    <col min="20" max="20" width="5.666015625" customWidth="1" style="104"/>
    <col min="21" max="21" width="8.4990234375" customWidth="1" style="104"/>
    <col min="22" max="22" width="26.1650390625" customWidth="1" style="103"/>
    <col min="23" max="40" width="8.8330078125" style="103"/>
  </cols>
  <sheetData>
    <row r="1" ht="14.002500000000003" customHeight="1">
      <c r="A1" s="448" t="s">
        <v>376</v>
      </c>
      <c r="B1" s="443" t="s">
        <v>377</v>
      </c>
      <c r="C1" s="444"/>
      <c r="D1" s="444"/>
      <c r="E1" s="444"/>
      <c r="F1" s="444"/>
      <c r="G1" s="444"/>
      <c r="H1" s="444"/>
      <c r="I1" s="444"/>
      <c r="J1" s="444"/>
      <c r="K1" s="445"/>
      <c r="L1" s="559" t="s">
        <v>378</v>
      </c>
      <c r="M1" s="560" t="s">
        <v>379</v>
      </c>
      <c r="N1" s="453" t="s">
        <v>380</v>
      </c>
      <c r="O1" s="453" t="s">
        <v>381</v>
      </c>
      <c r="P1" s="448" t="s">
        <v>382</v>
      </c>
      <c r="Q1" s="446" t="s">
        <v>383</v>
      </c>
      <c r="R1" s="447"/>
      <c r="S1" s="447"/>
      <c r="T1" s="447"/>
      <c r="U1" s="447"/>
      <c r="V1" s="447"/>
    </row>
    <row r="2" ht="14.002500000000003" customHeight="1">
      <c r="A2" s="449"/>
      <c r="B2" s="443" t="s">
        <v>384</v>
      </c>
      <c r="C2" s="444"/>
      <c r="D2" s="444"/>
      <c r="E2" s="444"/>
      <c r="F2" s="445"/>
      <c r="G2" s="443" t="s">
        <v>385</v>
      </c>
      <c r="H2" s="444"/>
      <c r="I2" s="444"/>
      <c r="J2" s="444"/>
      <c r="K2" s="561" t="s">
        <v>386</v>
      </c>
      <c r="L2" s="453"/>
      <c r="M2" s="453"/>
      <c r="N2" s="453"/>
      <c r="O2" s="453"/>
      <c r="P2" s="449"/>
      <c r="Q2" s="106" t="s">
        <v>5</v>
      </c>
      <c r="R2" s="108" t="s">
        <v>263</v>
      </c>
      <c r="S2" s="108" t="s">
        <v>387</v>
      </c>
      <c r="T2" s="108" t="s">
        <v>388</v>
      </c>
      <c r="U2" s="108" t="s">
        <v>385</v>
      </c>
      <c r="V2" s="108" t="s">
        <v>389</v>
      </c>
    </row>
    <row r="3" ht="14.002500000000003" customHeight="1">
      <c r="A3" s="449"/>
      <c r="B3" s="107" t="s">
        <f>'收入成本'!C1</f>
        <v>338</v>
      </c>
      <c r="C3" s="107"/>
      <c r="D3" s="108" t="s">
        <f>'收入成本'!H1</f>
        <v>339</v>
      </c>
      <c r="E3" s="108"/>
      <c r="F3" s="562" t="s">
        <v>390</v>
      </c>
      <c r="G3" s="108" t="s">
        <v>350</v>
      </c>
      <c r="H3" s="108" t="s">
        <v>391</v>
      </c>
      <c r="I3" s="563" t="s">
        <v>392</v>
      </c>
      <c r="J3" s="451" t="s">
        <v>393</v>
      </c>
      <c r="K3" s="449"/>
      <c r="L3" s="453"/>
      <c r="M3" s="453"/>
      <c r="N3" s="453"/>
      <c r="O3" s="453"/>
      <c r="P3" s="449"/>
      <c r="Q3" s="116" t="n">
        <v>1.1</v>
      </c>
      <c r="R3" s="111" t="s">
        <v>86</v>
      </c>
      <c r="S3" s="117" t="n">
        <f>'项目技术经济指标'!D30</f>
        <v>3992.88</v>
      </c>
      <c r="T3" s="111" t="s">
        <v>103</v>
      </c>
      <c r="U3" s="117" t="n">
        <f>U4+U5</f>
        <v>348.03</v>
      </c>
      <c r="V3" s="117" t="n">
        <f>S3-U3</f>
        <v>3644.85</v>
      </c>
    </row>
    <row r="4" ht="14.002500000000003" customHeight="1">
      <c r="A4" s="450"/>
      <c r="B4" s="330" t="n">
        <v>0.06</v>
      </c>
      <c r="C4" s="110"/>
      <c r="D4" s="331" t="n">
        <v>0.09</v>
      </c>
      <c r="E4" s="110"/>
      <c r="F4" s="350"/>
      <c r="G4" s="110" t="n">
        <v>0.13</v>
      </c>
      <c r="H4" s="110" t="n">
        <v>0.06</v>
      </c>
      <c r="I4" s="450"/>
      <c r="J4" s="452"/>
      <c r="K4" s="450"/>
      <c r="L4" s="110" t="n">
        <v>0.05</v>
      </c>
      <c r="M4" s="110" t="n">
        <v>0.03</v>
      </c>
      <c r="N4" s="110" t="n">
        <v>0.02</v>
      </c>
      <c r="O4" s="110"/>
      <c r="P4" s="450"/>
      <c r="Q4" s="116" t="s">
        <v>87</v>
      </c>
      <c r="R4" s="111" t="s">
        <v>394</v>
      </c>
      <c r="S4" s="117" t="n">
        <f>'项目技术经济指标'!D31</f>
        <v>3427.98</v>
      </c>
      <c r="T4" s="118" t="n">
        <v>0.09</v>
      </c>
      <c r="U4" s="119" t="n">
        <f>ROUND(S4/(1+T4)*T4,2)</f>
        <v>283.04</v>
      </c>
      <c r="V4" s="117" t="n">
        <f>S4-U4</f>
        <v>3144.94</v>
      </c>
    </row>
    <row r="5" ht="14.002500000000003" customHeight="1">
      <c r="A5" s="111" t="n">
        <v>1</v>
      </c>
      <c r="B5" s="112" t="n">
        <f>ROUND('收入成本'!G4/(1+$B$4)*$B$4*0.3,2)</f>
        <v>0</v>
      </c>
      <c r="C5" s="112"/>
      <c r="D5" s="112" t="n">
        <f>ROUND('收入成本'!K4/(1+$D$4)*$D$4*0.5,2)</f>
        <v>0</v>
      </c>
      <c r="E5" s="112" t="n">
        <f>ROUND('收入成本'!O4/(1+$E$4)*$E$4,2)</f>
        <v>0</v>
      </c>
      <c r="F5" s="112" t="n">
        <f>SUM(B5:E5)</f>
        <v>0</v>
      </c>
      <c r="G5" s="112" t="n">
        <f>ROUND('收入成本'!U4/(1+$G$4)*$G$4,2)</f>
        <v>0</v>
      </c>
      <c r="H5" s="112" t="n">
        <f>ROUND('收入成本'!X4/(1+$H$4)*$H$4,2)</f>
        <v>0</v>
      </c>
      <c r="I5" s="112" t="n">
        <f>G5+H5</f>
        <v>0</v>
      </c>
      <c r="J5" s="112" t="s">
        <v>395</v>
      </c>
      <c r="K5" s="112"/>
      <c r="L5" s="112"/>
      <c r="M5" s="112"/>
      <c r="N5" s="112"/>
      <c r="O5" s="115"/>
      <c r="P5" s="112" t="n">
        <f>SUM(K5:O5)</f>
        <v>0</v>
      </c>
      <c r="Q5" s="116" t="s">
        <v>89</v>
      </c>
      <c r="R5" s="111" t="s">
        <v>113</v>
      </c>
      <c r="S5" s="117" t="n">
        <f>'项目技术经济指标'!D32</f>
        <v>564.9</v>
      </c>
      <c r="T5" s="118" t="n">
        <v>0.13</v>
      </c>
      <c r="U5" s="119" t="n">
        <f>ROUND(S5/(1+T5)*T5,2)</f>
        <v>64.99</v>
      </c>
      <c r="V5" s="117" t="n">
        <f>S5-U5</f>
        <v>499.91</v>
      </c>
    </row>
    <row r="6" ht="14.002500000000003" customHeight="1">
      <c r="A6" s="111" t="n">
        <v>2</v>
      </c>
      <c r="B6" s="112" t="n">
        <f>ROUND('收入成本'!G5/(1+$B$4)*$B$4,2)</f>
        <v>10.85</v>
      </c>
      <c r="C6" s="112"/>
      <c r="D6" s="112" t="n">
        <f>ROUND('收入成本'!K5/(1+$D$4)*$D$4,2)</f>
        <v>1.58</v>
      </c>
      <c r="E6" s="112" t="n">
        <f>ROUND('收入成本'!O5/(1+$E$4)*$E$4,2)</f>
        <v>0</v>
      </c>
      <c r="F6" s="112" t="n">
        <f>SUM(B6:E6)</f>
        <v>12.43</v>
      </c>
      <c r="G6" s="112" t="n">
        <f>ROUND('收入成本'!U5/(1+$G$4)*$G$4,2)</f>
        <v>0.76</v>
      </c>
      <c r="H6" s="112" t="n">
        <f>ROUND('收入成本'!X5/(1+$H$4)*$H$4,2)</f>
        <v>0.49</v>
      </c>
      <c r="I6" s="112" t="n">
        <f>G6+H6</f>
        <v>1.25</v>
      </c>
      <c r="J6" s="112" t="n">
        <f>U9</f>
        <v>408.48</v>
      </c>
      <c r="K6" s="112"/>
      <c r="L6" s="112"/>
      <c r="M6" s="112"/>
      <c r="N6" s="112"/>
      <c r="O6" s="115"/>
      <c r="P6" s="112" t="n">
        <f>SUM(K6:O6)</f>
        <v>0</v>
      </c>
      <c r="Q6" s="116" t="n">
        <v>1.2</v>
      </c>
      <c r="R6" s="111" t="s">
        <v>271</v>
      </c>
      <c r="S6" s="117" t="n">
        <f>'项目技术经济指标'!D33</f>
        <v>559.82</v>
      </c>
      <c r="T6" s="118" t="n">
        <v>0.06</v>
      </c>
      <c r="U6" s="119" t="n">
        <f>ROUND(S6/(1+T6)*T6,2)</f>
        <v>31.69</v>
      </c>
      <c r="V6" s="117" t="n">
        <f>S6-U6</f>
        <v>528.13</v>
      </c>
    </row>
    <row r="7" ht="14.002500000000003" customHeight="1">
      <c r="A7" s="111" t="n">
        <v>3</v>
      </c>
      <c r="B7" s="112" t="n">
        <f>ROUND('收入成本'!G6/(1+$B$4)*$B$4,2)</f>
        <v>11.93</v>
      </c>
      <c r="C7" s="112"/>
      <c r="D7" s="112" t="n">
        <f>ROUND('收入成本'!K6/(1+$D$4)*$D$4,2)</f>
        <v>1.74</v>
      </c>
      <c r="E7" s="112" t="n">
        <f>ROUND('收入成本'!O6/(1+$E$4)*$E$4,2)</f>
        <v>0</v>
      </c>
      <c r="F7" s="112" t="n">
        <f>SUM(B7:E7)</f>
        <v>13.67</v>
      </c>
      <c r="G7" s="112" t="n">
        <f>ROUND('收入成本'!U6/(1+$G$4)*$G$4,2)</f>
        <v>0.83</v>
      </c>
      <c r="H7" s="112" t="n">
        <f>ROUND('收入成本'!X6/(1+$H$4)*$H$4,2)</f>
        <v>0.49</v>
      </c>
      <c r="I7" s="112" t="n">
        <f>G7+H7</f>
        <v>1.32</v>
      </c>
      <c r="J7" s="112" t="n">
        <f>IF((J6+H7+G7)-SUM(B7:E7)&lt;0,0,(J6+H7+G7)-SUM(B7:E7))</f>
        <v>396.13</v>
      </c>
      <c r="K7" s="112" t="n">
        <f>IF((J6+H7+G7)-SUM(B7:E7)&gt;0,0,SUM(B7:E7)-(J6+H7+G7))</f>
        <v>0</v>
      </c>
      <c r="L7" s="112" t="n">
        <f>ROUND(K7*$L$4,2)</f>
        <v>0</v>
      </c>
      <c r="M7" s="112" t="n">
        <f>ROUND(K7*$M$4,2)</f>
        <v>0</v>
      </c>
      <c r="N7" s="112" t="n">
        <f>ROUND(K7*$N$4,2)</f>
        <v>0</v>
      </c>
      <c r="O7" s="115"/>
      <c r="P7" s="112" t="n">
        <f>SUM(K7:O7)</f>
        <v>0</v>
      </c>
      <c r="Q7" s="116" t="n">
        <v>1.3</v>
      </c>
      <c r="R7" s="111" t="s">
        <v>92</v>
      </c>
      <c r="S7" s="117" t="n">
        <f>'项目技术经济指标'!D34</f>
        <v>348.3</v>
      </c>
      <c r="T7" s="118" t="n">
        <v>0.09</v>
      </c>
      <c r="U7" s="119" t="n">
        <f>ROUND(S7/(1+T7)*T7,2)</f>
        <v>28.76</v>
      </c>
      <c r="V7" s="117" t="n">
        <f>S7-U7</f>
        <v>319.54</v>
      </c>
    </row>
    <row r="8" ht="14.002500000000003" customHeight="1">
      <c r="A8" s="111" t="n">
        <v>4</v>
      </c>
      <c r="B8" s="112" t="n">
        <f>ROUND('收入成本'!G7/(1+$B$4)*$B$4,2)</f>
        <v>13.02</v>
      </c>
      <c r="C8" s="112"/>
      <c r="D8" s="112" t="n">
        <f>ROUND('收入成本'!K7/(1+$D$4)*$D$4,2)</f>
        <v>1.9</v>
      </c>
      <c r="E8" s="112" t="n">
        <f>ROUND('收入成本'!O7/(1+$E$4)*$E$4,2)</f>
        <v>0</v>
      </c>
      <c r="F8" s="112" t="n">
        <f>SUM(B8:E8)</f>
        <v>14.92</v>
      </c>
      <c r="G8" s="112" t="n">
        <f>ROUND('收入成本'!U7/(1+$G$4)*$G$4,2)</f>
        <v>0.91</v>
      </c>
      <c r="H8" s="112" t="n">
        <f>ROUND('收入成本'!X7/(1+$H$4)*$H$4,2)</f>
        <v>0.49</v>
      </c>
      <c r="I8" s="112" t="n">
        <f>G8+H8</f>
        <v>1.4</v>
      </c>
      <c r="J8" s="112" t="n">
        <f>IF((J7+H8+G8)-SUM(B8:E8)&lt;0,0,(J7+H8+G8)-SUM(B8:E8))</f>
        <v>382.61</v>
      </c>
      <c r="K8" s="112" t="n">
        <f>IF((J7+H8+G8)-SUM(B8:E8)&gt;0,0,SUM(B8:E8)-(J7+H8+G8))</f>
        <v>0</v>
      </c>
      <c r="L8" s="112" t="n">
        <f>ROUND(K8*$L$4,2)</f>
        <v>0</v>
      </c>
      <c r="M8" s="112" t="n">
        <f>ROUND(K8*$M$4,2)</f>
        <v>0</v>
      </c>
      <c r="N8" s="112" t="n">
        <f>ROUND(K8*$N$4,2)</f>
        <v>0</v>
      </c>
      <c r="O8" s="115"/>
      <c r="P8" s="112" t="n">
        <f>SUM(K8:O8)</f>
        <v>0</v>
      </c>
      <c r="Q8" s="116" t="n">
        <v>1.4</v>
      </c>
      <c r="R8" s="111" t="s">
        <v>93</v>
      </c>
      <c r="S8" s="117" t="n">
        <f>'项目技术经济指标'!D35</f>
        <v>99</v>
      </c>
      <c r="T8" s="111" t="n">
        <v>0</v>
      </c>
      <c r="U8" s="119" t="n">
        <f>ROUND(S8/(1+T8)*T8,2)</f>
        <v>0</v>
      </c>
      <c r="V8" s="117" t="n">
        <f>S8-U8</f>
        <v>99</v>
      </c>
    </row>
    <row r="9" ht="14.002500000000003" customHeight="1">
      <c r="A9" s="111" t="n">
        <v>5</v>
      </c>
      <c r="B9" s="112" t="n">
        <f>ROUND('收入成本'!G8/(1+$B$4)*$B$4,2)</f>
        <v>14.1</v>
      </c>
      <c r="C9" s="112"/>
      <c r="D9" s="112" t="n">
        <f>ROUND('收入成本'!K8/(1+$D$4)*$D$4,2)</f>
        <v>2.06</v>
      </c>
      <c r="E9" s="112" t="n">
        <f>ROUND('收入成本'!O8/(1+$E$4)*$E$4,2)</f>
        <v>0</v>
      </c>
      <c r="F9" s="112" t="n">
        <f>SUM(B9:E9)</f>
        <v>16.16</v>
      </c>
      <c r="G9" s="112" t="n">
        <f>ROUND('收入成本'!U8/(1+$G$4)*$G$4,2)</f>
        <v>0.98</v>
      </c>
      <c r="H9" s="112" t="n">
        <f>ROUND('收入成本'!X8/(1+$H$4)*$H$4,2)</f>
        <v>0.49</v>
      </c>
      <c r="I9" s="112" t="n">
        <f>G9+H9</f>
        <v>1.47</v>
      </c>
      <c r="J9" s="112" t="n">
        <f>IF((J8+H9+G9)-SUM(B9:E9)&lt;0,0,(J8+H9+G9)-SUM(B9:E9))</f>
        <v>367.92</v>
      </c>
      <c r="K9" s="112" t="n">
        <f>IF((J8+H9+G9)-SUM(B9:E9)&gt;0,0,SUM(B9:E9)-(J8+H9+G9))</f>
        <v>0</v>
      </c>
      <c r="L9" s="112" t="n">
        <f>ROUND(K9*$L$4,2)</f>
        <v>0</v>
      </c>
      <c r="M9" s="112" t="n">
        <f>ROUND(K9*$M$4,2)</f>
        <v>0</v>
      </c>
      <c r="N9" s="112" t="n">
        <f>ROUND(K9*$N$4,2)</f>
        <v>0</v>
      </c>
      <c r="O9" s="115"/>
      <c r="P9" s="112" t="n">
        <f>SUM(K9:O9)</f>
        <v>0</v>
      </c>
      <c r="Q9" s="120" t="n">
        <v>1</v>
      </c>
      <c r="R9" s="113" t="s">
        <v>84</v>
      </c>
      <c r="S9" s="121" t="n">
        <f>S3+S6+S7+S8</f>
        <v>5000</v>
      </c>
      <c r="T9" s="113"/>
      <c r="U9" s="122" t="n">
        <f>SUM(U4:U8)</f>
        <v>408.48</v>
      </c>
      <c r="V9" s="121" t="n">
        <f>SUM(V4:V8)</f>
        <v>4591.52</v>
      </c>
    </row>
    <row r="10" ht="14.002500000000003" customHeight="1">
      <c r="A10" s="111" t="n">
        <v>6</v>
      </c>
      <c r="B10" s="112" t="n">
        <f>ROUND('收入成本'!G9/(1+$B$4)*$B$4,2)</f>
        <v>15.19</v>
      </c>
      <c r="C10" s="112"/>
      <c r="D10" s="112" t="n">
        <f>ROUND('收入成本'!K9/(1+$D$4)*$D$4,2)</f>
        <v>2.22</v>
      </c>
      <c r="E10" s="112" t="n">
        <f>ROUND('收入成本'!O9/(1+$E$4)*$E$4,2)</f>
        <v>0</v>
      </c>
      <c r="F10" s="112" t="n">
        <f>SUM(B10:E10)</f>
        <v>17.41</v>
      </c>
      <c r="G10" s="112" t="n">
        <f>ROUND('收入成本'!U9/(1+$G$4)*$G$4,2)</f>
        <v>1.06</v>
      </c>
      <c r="H10" s="112" t="n">
        <f>ROUND('收入成本'!X9/(1+$H$4)*$H$4,2)</f>
        <v>0.49</v>
      </c>
      <c r="I10" s="112" t="n">
        <f>G10+H10</f>
        <v>1.55</v>
      </c>
      <c r="J10" s="112" t="n">
        <f>IF((J9+H10+G10)-SUM(B10:E10)&lt;0,0,(J9+H10+G10)-SUM(B10:E10))</f>
        <v>352.06</v>
      </c>
      <c r="K10" s="112" t="n">
        <f>IF((J9+H10+G10)-SUM(B10:E10)&gt;0,0,SUM(B10:E10)-(J9+H10+G10))</f>
        <v>0</v>
      </c>
      <c r="L10" s="112" t="n">
        <f>ROUND(K10*$L$4,2)</f>
        <v>0</v>
      </c>
      <c r="M10" s="112" t="n">
        <f>ROUND(K10*$M$4,2)</f>
        <v>0</v>
      </c>
      <c r="N10" s="112" t="n">
        <f>ROUND(K10*$N$4,2)</f>
        <v>0</v>
      </c>
      <c r="O10" s="115"/>
      <c r="P10" s="112" t="n">
        <f>SUM(K10:O10)</f>
        <v>0</v>
      </c>
    </row>
    <row r="11" ht="14.002500000000003" customHeight="1">
      <c r="A11" s="111" t="n">
        <v>7</v>
      </c>
      <c r="B11" s="112" t="n">
        <f>ROUND('收入成本'!G10/(1+$B$4)*$B$4,2)</f>
        <v>17.43</v>
      </c>
      <c r="C11" s="112"/>
      <c r="D11" s="112" t="n">
        <f>ROUND('收入成本'!K10/(1+$D$4)*$D$4,2)</f>
        <v>2.61</v>
      </c>
      <c r="E11" s="112" t="n">
        <f>ROUND('收入成本'!O10/(1+$E$4)*$E$4,2)</f>
        <v>0</v>
      </c>
      <c r="F11" s="112" t="n">
        <f>SUM(B11:E11)</f>
        <v>20.04</v>
      </c>
      <c r="G11" s="112" t="n">
        <f>ROUND('收入成本'!U10/(1+$G$4)*$G$4,2)</f>
        <v>1.13</v>
      </c>
      <c r="H11" s="112" t="n">
        <f>ROUND('收入成本'!X10/(1+$H$4)*$H$4,2)</f>
        <v>0.51</v>
      </c>
      <c r="I11" s="112" t="n">
        <f>G11+H11</f>
        <v>1.64</v>
      </c>
      <c r="J11" s="112" t="n">
        <f>IF((J10+H11+G11)-SUM(B11:E11)&lt;0,0,(J10+H11+G11)-SUM(B11:E11))</f>
        <v>333.66</v>
      </c>
      <c r="K11" s="112" t="n">
        <f>IF((J10+H11+G11)-SUM(B11:E11)&gt;0,0,SUM(B11:E11)-(J10+H11+G11))</f>
        <v>0</v>
      </c>
      <c r="L11" s="112" t="n">
        <f>ROUND(K11*$L$4,2)</f>
        <v>0</v>
      </c>
      <c r="M11" s="112" t="n">
        <f>ROUND(K11*$M$4,2)</f>
        <v>0</v>
      </c>
      <c r="N11" s="112" t="n">
        <f>ROUND(K11*$N$4,2)</f>
        <v>0</v>
      </c>
      <c r="O11" s="115"/>
      <c r="P11" s="112" t="n">
        <f>SUM(K11:O11)</f>
        <v>0</v>
      </c>
    </row>
    <row r="12" ht="14.002500000000003" customHeight="1">
      <c r="A12" s="111" t="n">
        <v>8</v>
      </c>
      <c r="B12" s="112" t="n">
        <f>ROUND('收入成本'!G11/(1+$B$4)*$B$4,2)</f>
        <v>17.43</v>
      </c>
      <c r="C12" s="112"/>
      <c r="D12" s="112" t="n">
        <f>ROUND('收入成本'!K11/(1+$D$4)*$D$4,2)</f>
        <v>2.61</v>
      </c>
      <c r="E12" s="112" t="n">
        <f>ROUND('收入成本'!O11/(1+$E$4)*$E$4,2)</f>
        <v>0</v>
      </c>
      <c r="F12" s="112" t="n">
        <f>SUM(B12:E12)</f>
        <v>20.04</v>
      </c>
      <c r="G12" s="112" t="n">
        <f>ROUND('收入成本'!U11/(1+$G$4)*$G$4,2)</f>
        <v>1.13</v>
      </c>
      <c r="H12" s="112" t="n">
        <f>ROUND('收入成本'!X11/(1+$H$4)*$H$4,2)</f>
        <v>0.51</v>
      </c>
      <c r="I12" s="112" t="n">
        <f>G12+H12</f>
        <v>1.64</v>
      </c>
      <c r="J12" s="112" t="n">
        <f>IF((J11+H12+G12)-SUM(B12:E12)&lt;0,0,(J11+H12+G12)-SUM(B12:E12))</f>
        <v>315.26</v>
      </c>
      <c r="K12" s="112" t="n">
        <f>IF((J11+H12+G12)-SUM(B12:E12)&gt;0,0,SUM(B12:E12)-(J11+H12+G12))</f>
        <v>0</v>
      </c>
      <c r="L12" s="112" t="n">
        <f>ROUND(K12*$L$4,2)</f>
        <v>0</v>
      </c>
      <c r="M12" s="112" t="n">
        <f>ROUND(K12*$M$4,2)</f>
        <v>0</v>
      </c>
      <c r="N12" s="112" t="n">
        <f>ROUND(K12*$N$4,2)</f>
        <v>0</v>
      </c>
      <c r="O12" s="115"/>
      <c r="P12" s="112" t="n">
        <f>SUM(K12:O12)</f>
        <v>0</v>
      </c>
    </row>
    <row r="13" ht="14.002500000000003" customHeight="1">
      <c r="A13" s="111" t="n">
        <v>9</v>
      </c>
      <c r="B13" s="112" t="n">
        <f>ROUND('收入成本'!G12/(1+$B$4)*$B$4,2)</f>
        <v>17.43</v>
      </c>
      <c r="C13" s="112"/>
      <c r="D13" s="112" t="n">
        <f>ROUND('收入成本'!K12/(1+$D$4)*$D$4,2)</f>
        <v>2.61</v>
      </c>
      <c r="E13" s="112" t="n">
        <f>ROUND('收入成本'!O12/(1+$E$4)*$E$4,2)</f>
        <v>0</v>
      </c>
      <c r="F13" s="112" t="n">
        <f>SUM(B13:E13)</f>
        <v>20.04</v>
      </c>
      <c r="G13" s="112" t="n">
        <f>ROUND('收入成本'!U12/(1+$G$4)*$G$4,2)</f>
        <v>1.13</v>
      </c>
      <c r="H13" s="112" t="n">
        <f>ROUND('收入成本'!X12/(1+$H$4)*$H$4,2)</f>
        <v>0.51</v>
      </c>
      <c r="I13" s="112" t="n">
        <f>G13+H13</f>
        <v>1.64</v>
      </c>
      <c r="J13" s="112" t="n">
        <f>IF((J12+H13+G13)-SUM(B13:E13)&lt;0,0,(J12+H13+G13)-SUM(B13:E13))</f>
        <v>296.86</v>
      </c>
      <c r="K13" s="112" t="n">
        <f>IF((J12+H13+G13)-SUM(B13:E13)&gt;0,0,SUM(B13:E13)-(J12+H13+G13))</f>
        <v>0</v>
      </c>
      <c r="L13" s="112" t="n">
        <f>ROUND(K13*$L$4,2)</f>
        <v>0</v>
      </c>
      <c r="M13" s="112" t="n">
        <f>ROUND(K13*$M$4,2)</f>
        <v>0</v>
      </c>
      <c r="N13" s="112" t="n">
        <f>ROUND(K13*$N$4,2)</f>
        <v>0</v>
      </c>
      <c r="O13" s="115"/>
      <c r="P13" s="112" t="n">
        <f>SUM(K13:O13)</f>
        <v>0</v>
      </c>
    </row>
    <row r="14" ht="14.002500000000003" customHeight="1">
      <c r="A14" s="111" t="n">
        <v>10</v>
      </c>
      <c r="B14" s="112" t="n">
        <f>ROUND('收入成本'!G13/(1+$B$4)*$B$4,2)</f>
        <v>17.43</v>
      </c>
      <c r="C14" s="112"/>
      <c r="D14" s="112" t="n">
        <f>ROUND('收入成本'!K13/(1+$D$4)*$D$4,2)</f>
        <v>2.61</v>
      </c>
      <c r="E14" s="112" t="n">
        <f>ROUND('收入成本'!O13/(1+$E$4)*$E$4,2)</f>
        <v>0</v>
      </c>
      <c r="F14" s="112" t="n">
        <f>SUM(B14:E14)</f>
        <v>20.04</v>
      </c>
      <c r="G14" s="112" t="n">
        <f>ROUND('收入成本'!U13/(1+$G$4)*$G$4,2)</f>
        <v>1.13</v>
      </c>
      <c r="H14" s="112" t="n">
        <f>ROUND('收入成本'!X13/(1+$H$4)*$H$4,2)</f>
        <v>0.51</v>
      </c>
      <c r="I14" s="112" t="n">
        <f>G14+H14</f>
        <v>1.64</v>
      </c>
      <c r="J14" s="112" t="n">
        <f>IF((J13+H14+G14)-SUM(B14:E14)&lt;0,0,(J13+H14+G14)-SUM(B14:E14))</f>
        <v>278.46</v>
      </c>
      <c r="K14" s="112" t="n">
        <f>IF((J13+H14+G14)-SUM(B14:E14)&gt;0,0,SUM(B14:E14)-(J13+H14+G14))</f>
        <v>0</v>
      </c>
      <c r="L14" s="112" t="n">
        <f>ROUND(K14*$L$4,2)</f>
        <v>0</v>
      </c>
      <c r="M14" s="112" t="n">
        <f>ROUND(K14*$M$4,2)</f>
        <v>0</v>
      </c>
      <c r="N14" s="112" t="n">
        <f>ROUND(K14*$N$4,2)</f>
        <v>0</v>
      </c>
      <c r="O14" s="115"/>
      <c r="P14" s="112" t="n">
        <f>SUM(K14:O14)</f>
        <v>0</v>
      </c>
    </row>
    <row r="15" ht="14.002500000000003" customHeight="1">
      <c r="A15" s="111" t="n">
        <v>11</v>
      </c>
      <c r="B15" s="112" t="n">
        <f>ROUND('收入成本'!G14/(1+$B$4)*$B$4,2)</f>
        <v>17.43</v>
      </c>
      <c r="C15" s="112"/>
      <c r="D15" s="112" t="n">
        <f>ROUND('收入成本'!K14/(1+$D$4)*$D$4,2)</f>
        <v>2.61</v>
      </c>
      <c r="E15" s="112" t="n">
        <f>ROUND('收入成本'!O14/(1+$E$4)*$E$4,2)</f>
        <v>0</v>
      </c>
      <c r="F15" s="112" t="n">
        <f>SUM(B15:E15)</f>
        <v>20.04</v>
      </c>
      <c r="G15" s="112" t="n">
        <f>ROUND('收入成本'!U14/(1+$G$4)*$G$4,2)</f>
        <v>1.13</v>
      </c>
      <c r="H15" s="112" t="n">
        <f>ROUND('收入成本'!X14/(1+$H$4)*$H$4,2)</f>
        <v>0.51</v>
      </c>
      <c r="I15" s="112" t="n">
        <f>G15+H15</f>
        <v>1.64</v>
      </c>
      <c r="J15" s="112" t="n">
        <f>IF((J14+H15+G15)-SUM(B15:E15)&lt;0,0,(J14+H15+G15)-SUM(B15:E15))</f>
        <v>260.06</v>
      </c>
      <c r="K15" s="112" t="n">
        <f>IF((J14+H15+G15)-SUM(B15:E15)&gt;0,0,SUM(B15:E15)-(J14+H15+G15))</f>
        <v>0</v>
      </c>
      <c r="L15" s="112" t="n">
        <f>ROUND(K15*$L$4,2)</f>
        <v>0</v>
      </c>
      <c r="M15" s="112" t="n">
        <f>ROUND(K15*$M$4,2)</f>
        <v>0</v>
      </c>
      <c r="N15" s="112" t="n">
        <f>ROUND(K15*$N$4,2)</f>
        <v>0</v>
      </c>
      <c r="O15" s="115"/>
      <c r="P15" s="112" t="n">
        <f>SUM(K15:O15)</f>
        <v>0</v>
      </c>
    </row>
    <row r="16" ht="14.002500000000003" customHeight="1">
      <c r="A16" s="111" t="n">
        <v>12</v>
      </c>
      <c r="B16" s="112" t="n">
        <f>ROUND('收入成本'!G15/(1+$B$4)*$B$4,2)</f>
        <v>18.73</v>
      </c>
      <c r="C16" s="112"/>
      <c r="D16" s="112" t="n">
        <f>ROUND('收入成本'!K15/(1+$D$4)*$D$4,2)</f>
        <v>2.9</v>
      </c>
      <c r="E16" s="112" t="n">
        <f>ROUND('收入成本'!O15/(1+$E$4)*$E$4,2)</f>
        <v>0</v>
      </c>
      <c r="F16" s="112" t="n">
        <f>SUM(B16:E16)</f>
        <v>21.63</v>
      </c>
      <c r="G16" s="112" t="n">
        <f>ROUND('收入成本'!U15/(1+$G$4)*$G$4,2)</f>
        <v>1.13</v>
      </c>
      <c r="H16" s="112" t="n">
        <f>ROUND('收入成本'!X15/(1+$H$4)*$H$4,2)</f>
        <v>0.54</v>
      </c>
      <c r="I16" s="112" t="n">
        <f>G16+H16</f>
        <v>1.67</v>
      </c>
      <c r="J16" s="112" t="n">
        <f>IF((J15+H16+G16)-SUM(B16:E16)&lt;0,0,(J15+H16+G16)-SUM(B16:E16))</f>
        <v>240.1</v>
      </c>
      <c r="K16" s="112" t="n">
        <f>IF((J15+H16+G16)-SUM(B16:E16)&gt;0,0,SUM(B16:E16)-(J15+H16+G16))</f>
        <v>0</v>
      </c>
      <c r="L16" s="112" t="n">
        <f>ROUND(K16*$L$4,2)</f>
        <v>0</v>
      </c>
      <c r="M16" s="112" t="n">
        <f>ROUND(K16*$M$4,2)</f>
        <v>0</v>
      </c>
      <c r="N16" s="112" t="n">
        <f>ROUND(K16*$N$4,2)</f>
        <v>0</v>
      </c>
      <c r="O16" s="115"/>
      <c r="P16" s="112" t="n">
        <f>SUM(K16:O16)</f>
        <v>0</v>
      </c>
    </row>
    <row r="17" ht="14.002500000000003" customHeight="1">
      <c r="A17" s="111" t="n">
        <v>13</v>
      </c>
      <c r="B17" s="112" t="n">
        <f>ROUND('收入成本'!G16/(1+$B$4)*$B$4,2)</f>
        <v>18.73</v>
      </c>
      <c r="C17" s="112"/>
      <c r="D17" s="112" t="n">
        <f>ROUND('收入成本'!K16/(1+$D$4)*$D$4,2)</f>
        <v>2.9</v>
      </c>
      <c r="E17" s="112" t="n">
        <f>ROUND('收入成本'!O16/(1+$E$4)*$E$4,2)</f>
        <v>0</v>
      </c>
      <c r="F17" s="112" t="n">
        <f>SUM(B17:E17)</f>
        <v>21.63</v>
      </c>
      <c r="G17" s="112" t="n">
        <f>ROUND('收入成本'!U16/(1+$G$4)*$G$4,2)</f>
        <v>1.13</v>
      </c>
      <c r="H17" s="112" t="n">
        <f>ROUND('收入成本'!X16/(1+$H$4)*$H$4,2)</f>
        <v>0.54</v>
      </c>
      <c r="I17" s="112" t="n">
        <f>G17+H17</f>
        <v>1.67</v>
      </c>
      <c r="J17" s="112" t="n">
        <f>IF((J16+H17+G17)-SUM(B17:E17)&lt;0,0,(J16+H17+G17)-SUM(B17:E17))</f>
        <v>220.14</v>
      </c>
      <c r="K17" s="112" t="n">
        <f>IF((J16+H17+G17)-SUM(B17:E17)&gt;0,0,SUM(B17:E17)-(J16+H17+G17))</f>
        <v>0</v>
      </c>
      <c r="L17" s="112" t="n">
        <f>ROUND(K17*$L$4,2)</f>
        <v>0</v>
      </c>
      <c r="M17" s="112" t="n">
        <f>ROUND(K17*$M$4,2)</f>
        <v>0</v>
      </c>
      <c r="N17" s="112" t="n">
        <f>ROUND(K17*$N$4,2)</f>
        <v>0</v>
      </c>
      <c r="O17" s="115"/>
      <c r="P17" s="112" t="n">
        <f>SUM(K17:O17)</f>
        <v>0</v>
      </c>
    </row>
    <row r="18" ht="14.002500000000003" customHeight="1">
      <c r="A18" s="111" t="n">
        <v>14</v>
      </c>
      <c r="B18" s="112" t="n">
        <f>ROUND('收入成本'!G17/(1+$B$4)*$B$4,2)</f>
        <v>18.73</v>
      </c>
      <c r="C18" s="112"/>
      <c r="D18" s="112" t="n">
        <f>ROUND('收入成本'!K17/(1+$D$4)*$D$4,2)</f>
        <v>2.9</v>
      </c>
      <c r="E18" s="112" t="n">
        <f>ROUND('收入成本'!O17/(1+$E$4)*$E$4,2)</f>
        <v>0</v>
      </c>
      <c r="F18" s="112" t="n">
        <f>SUM(B18:E18)</f>
        <v>21.63</v>
      </c>
      <c r="G18" s="112" t="n">
        <f>ROUND('收入成本'!U17/(1+$G$4)*$G$4,2)</f>
        <v>1.13</v>
      </c>
      <c r="H18" s="112" t="n">
        <f>ROUND('收入成本'!X17/(1+$H$4)*$H$4,2)</f>
        <v>16.53</v>
      </c>
      <c r="I18" s="112" t="n">
        <f>G18+H18</f>
        <v>17.66</v>
      </c>
      <c r="J18" s="112" t="n">
        <f>IF((J17+H18+G18)-SUM(B18:E18)&lt;0,0,(J17+H18+G18)-SUM(B18:E18))</f>
        <v>216.17</v>
      </c>
      <c r="K18" s="112" t="n">
        <f>IF((J17+H18+G18)-SUM(B18:E18)&gt;0,0,SUM(B18:E18)-(J17+H18+G18))</f>
        <v>0</v>
      </c>
      <c r="L18" s="112" t="n">
        <f>ROUND(K18*$L$4,2)</f>
        <v>0</v>
      </c>
      <c r="M18" s="112" t="n">
        <f>ROUND(K18*$M$4,2)</f>
        <v>0</v>
      </c>
      <c r="N18" s="112" t="n">
        <f>ROUND(K18*$N$4,2)</f>
        <v>0</v>
      </c>
      <c r="O18" s="115"/>
      <c r="P18" s="112" t="n">
        <f>SUM(K18:O18)</f>
        <v>0</v>
      </c>
    </row>
    <row r="19" ht="14.002500000000003" customHeight="1">
      <c r="A19" s="111" t="n">
        <v>15</v>
      </c>
      <c r="B19" s="112" t="n">
        <f>ROUND('收入成本'!G18/(1+$B$4)*$B$4,2)</f>
        <v>18.73</v>
      </c>
      <c r="C19" s="112"/>
      <c r="D19" s="112" t="n">
        <f>ROUND('收入成本'!K18/(1+$D$4)*$D$4,2)</f>
        <v>2.9</v>
      </c>
      <c r="E19" s="112" t="n">
        <f>ROUND('收入成本'!O18/(1+$E$4)*$E$4,2)</f>
        <v>0</v>
      </c>
      <c r="F19" s="112" t="n">
        <f>SUM(B19:E19)</f>
        <v>21.63</v>
      </c>
      <c r="G19" s="112" t="n">
        <f>ROUND('收入成本'!U18/(1+$G$4)*$G$4,2)</f>
        <v>1.13</v>
      </c>
      <c r="H19" s="112" t="n">
        <f>ROUND('收入成本'!X18/(1+$H$4)*$H$4,2)</f>
        <v>16.53</v>
      </c>
      <c r="I19" s="112" t="n">
        <f>G19+H19</f>
        <v>17.66</v>
      </c>
      <c r="J19" s="112" t="n">
        <f>IF((J18+H19+G19)-SUM(B19:E19)&lt;0,0,(J18+H19+G19)-SUM(B19:E19))</f>
        <v>212.2</v>
      </c>
      <c r="K19" s="112" t="n">
        <f>IF((J18+H19+G19)-SUM(B19:E19)&gt;0,0,SUM(B19:E19)-(J18+H19+G19))</f>
        <v>0</v>
      </c>
      <c r="L19" s="112" t="n">
        <f>ROUND(K19*$L$4,2)</f>
        <v>0</v>
      </c>
      <c r="M19" s="112" t="n">
        <f>ROUND(K19*$M$4,2)</f>
        <v>0</v>
      </c>
      <c r="N19" s="112" t="n">
        <f>ROUND(K19*$N$4,2)</f>
        <v>0</v>
      </c>
      <c r="O19" s="115"/>
      <c r="P19" s="112" t="n">
        <f>SUM(K19:O19)</f>
        <v>0</v>
      </c>
    </row>
    <row r="20" ht="14.002500000000003" customHeight="1">
      <c r="A20" s="111" t="n">
        <v>16</v>
      </c>
      <c r="B20" s="112" t="n">
        <f>ROUND('收入成本'!G19/(1+$B$4)*$B$4,2)</f>
        <v>18.73</v>
      </c>
      <c r="C20" s="112"/>
      <c r="D20" s="112" t="n">
        <f>ROUND('收入成本'!K19/(1+$D$4)*$D$4,2)</f>
        <v>2.9</v>
      </c>
      <c r="E20" s="112" t="n">
        <f>ROUND('收入成本'!O19/(1+$E$4)*$E$4,2)</f>
        <v>0</v>
      </c>
      <c r="F20" s="112" t="n">
        <f>SUM(B20:E20)</f>
        <v>21.63</v>
      </c>
      <c r="G20" s="112" t="n">
        <f>ROUND('收入成本'!U19/(1+$G$4)*$G$4,2)</f>
        <v>1.13</v>
      </c>
      <c r="H20" s="112" t="n">
        <f>ROUND('收入成本'!X19/(1+$H$4)*$H$4,2)</f>
        <v>0.54</v>
      </c>
      <c r="I20" s="112" t="n">
        <f>G20+H20</f>
        <v>1.67</v>
      </c>
      <c r="J20" s="112" t="n">
        <f>IF((J19+H20+G20)-SUM(B20:E20)&lt;0,0,(J19+H20+G20)-SUM(B20:E20))</f>
        <v>192.24</v>
      </c>
      <c r="K20" s="112" t="n">
        <f>IF((J19+H20+G20)-SUM(B20:E20)&gt;0,0,SUM(B20:E20)-(J19+H20+G20))</f>
        <v>0</v>
      </c>
      <c r="L20" s="112" t="n">
        <f>ROUND(K20*$L$4,2)</f>
        <v>0</v>
      </c>
      <c r="M20" s="112" t="n">
        <f>ROUND(K20*$M$4,2)</f>
        <v>0</v>
      </c>
      <c r="N20" s="112" t="n">
        <f>ROUND(K20*$N$4,2)</f>
        <v>0</v>
      </c>
      <c r="O20" s="115"/>
      <c r="P20" s="112" t="n">
        <f>SUM(K20:O20)</f>
        <v>0</v>
      </c>
    </row>
    <row r="21" ht="14.002500000000003" customHeight="1">
      <c r="A21" s="111" t="n">
        <v>17</v>
      </c>
      <c r="B21" s="112" t="n">
        <f>ROUND('收入成本'!G20/(1+$B$4)*$B$4,2)</f>
        <v>20.13</v>
      </c>
      <c r="C21" s="112"/>
      <c r="D21" s="112" t="n">
        <f>ROUND('收入成本'!K20/(1+$D$4)*$D$4,2)</f>
        <v>3.18</v>
      </c>
      <c r="E21" s="112" t="n">
        <f>ROUND('收入成本'!O20/(1+$E$4)*$E$4,2)</f>
        <v>0</v>
      </c>
      <c r="F21" s="112" t="n">
        <f>SUM(B21:E21)</f>
        <v>23.31</v>
      </c>
      <c r="G21" s="112" t="n">
        <f>ROUND('收入成本'!U20/(1+$G$4)*$G$4,2)</f>
        <v>1.13</v>
      </c>
      <c r="H21" s="112" t="n">
        <f>ROUND('收入成本'!X20/(1+$H$4)*$H$4,2)</f>
        <v>0.57</v>
      </c>
      <c r="I21" s="112" t="n">
        <f>G21+H21</f>
        <v>1.7</v>
      </c>
      <c r="J21" s="112" t="n">
        <f>IF((J20+H21+G21)-SUM(B21:E21)&lt;0,0,(J20+H21+G21)-SUM(B21:E21))</f>
        <v>170.63</v>
      </c>
      <c r="K21" s="112" t="n">
        <f>IF((J20+H21+G21)-SUM(B21:E21)&gt;0,0,SUM(B21:E21)-(J20+H21+G21))</f>
        <v>0</v>
      </c>
      <c r="L21" s="112" t="n">
        <f>ROUND(K21*$L$4,2)</f>
        <v>0</v>
      </c>
      <c r="M21" s="112" t="n">
        <f>ROUND(K21*$M$4,2)</f>
        <v>0</v>
      </c>
      <c r="N21" s="112" t="n">
        <f>ROUND(K21*$N$4,2)</f>
        <v>0</v>
      </c>
      <c r="O21" s="115"/>
      <c r="P21" s="112" t="n">
        <f>SUM(K21:O21)</f>
        <v>0</v>
      </c>
    </row>
    <row r="22" ht="14.002500000000003" customHeight="1">
      <c r="A22" s="111" t="n">
        <v>18</v>
      </c>
      <c r="B22" s="112" t="n">
        <f>ROUND('收入成本'!G21/(1+$B$4)*$B$4,2)</f>
        <v>20.13</v>
      </c>
      <c r="C22" s="112"/>
      <c r="D22" s="112" t="n">
        <f>ROUND('收入成本'!K21/(1+$D$4)*$D$4,2)</f>
        <v>3.18</v>
      </c>
      <c r="E22" s="112" t="n">
        <f>ROUND('收入成本'!O21/(1+$E$4)*$E$4,2)</f>
        <v>0</v>
      </c>
      <c r="F22" s="112" t="n">
        <f>SUM(B22:E22)</f>
        <v>23.31</v>
      </c>
      <c r="G22" s="112" t="n">
        <f>ROUND('收入成本'!U21/(1+$G$4)*$G$4,2)</f>
        <v>1.13</v>
      </c>
      <c r="H22" s="112" t="n">
        <f>ROUND('收入成本'!X21/(1+$H$4)*$H$4,2)</f>
        <v>0.57</v>
      </c>
      <c r="I22" s="112" t="n">
        <f>G22+H22</f>
        <v>1.7</v>
      </c>
      <c r="J22" s="112" t="n">
        <f>IF((J21+H22+G22)-SUM(B22:E22)&lt;0,0,(J21+H22+G22)-SUM(B22:E22))</f>
        <v>149.02</v>
      </c>
      <c r="K22" s="112" t="n">
        <f>IF((J21+H22+G22)-SUM(B22:E22)&gt;0,0,SUM(B22:E22)-(J21+H22+G22))</f>
        <v>0</v>
      </c>
      <c r="L22" s="112" t="n">
        <f>ROUND(K22*$L$4,2)</f>
        <v>0</v>
      </c>
      <c r="M22" s="112" t="n">
        <f>ROUND(K22*$M$4,2)</f>
        <v>0</v>
      </c>
      <c r="N22" s="112" t="n">
        <f>ROUND(K22*$N$4,2)</f>
        <v>0</v>
      </c>
      <c r="O22" s="115"/>
      <c r="P22" s="112" t="n">
        <f>SUM(K22:O22)</f>
        <v>0</v>
      </c>
    </row>
    <row r="23" ht="14.002500000000003" customHeight="1">
      <c r="A23" s="111" t="n">
        <v>19</v>
      </c>
      <c r="B23" s="112" t="n">
        <f>ROUND('收入成本'!G22/(1+$B$4)*$B$4,2)</f>
        <v>20.13</v>
      </c>
      <c r="C23" s="112"/>
      <c r="D23" s="112" t="n">
        <f>ROUND('收入成本'!K22/(1+$D$4)*$D$4,2)</f>
        <v>3.18</v>
      </c>
      <c r="E23" s="112" t="n">
        <f>ROUND('收入成本'!O22/(1+$E$4)*$E$4,2)</f>
        <v>0</v>
      </c>
      <c r="F23" s="112" t="n">
        <f>SUM(B23:E23)</f>
        <v>23.31</v>
      </c>
      <c r="G23" s="112" t="n">
        <f>ROUND('收入成本'!U22/(1+$G$4)*$G$4,2)</f>
        <v>1.13</v>
      </c>
      <c r="H23" s="112" t="n">
        <f>ROUND('收入成本'!X22/(1+$H$4)*$H$4,2)</f>
        <v>0.57</v>
      </c>
      <c r="I23" s="112" t="n">
        <f>G23+H23</f>
        <v>1.7</v>
      </c>
      <c r="J23" s="112" t="n">
        <f>IF((J22+H23+G23)-SUM(B23:E23)&lt;0,0,(J22+H23+G23)-SUM(B23:E23))</f>
        <v>127.41</v>
      </c>
      <c r="K23" s="112" t="n">
        <f>IF((J22+H23+G23)-SUM(B23:E23)&gt;0,0,SUM(B23:E23)-(J22+H23+G23))</f>
        <v>0</v>
      </c>
      <c r="L23" s="112" t="n">
        <f>ROUND(K23*$L$4,2)</f>
        <v>0</v>
      </c>
      <c r="M23" s="112" t="n">
        <f>ROUND(K23*$M$4,2)</f>
        <v>0</v>
      </c>
      <c r="N23" s="112" t="n">
        <f>ROUND(K23*$N$4,2)</f>
        <v>0</v>
      </c>
      <c r="O23" s="115"/>
      <c r="P23" s="112" t="n">
        <f>SUM(K23:O23)</f>
        <v>0</v>
      </c>
    </row>
    <row r="24" ht="14.002500000000003" customHeight="1">
      <c r="A24" s="111" t="n">
        <v>20</v>
      </c>
      <c r="B24" s="112" t="n">
        <f>ROUND('收入成本'!G23/(1+$B$4)*$B$4,2)</f>
        <v>20.13</v>
      </c>
      <c r="C24" s="112"/>
      <c r="D24" s="112" t="n">
        <f>ROUND('收入成本'!K23/(1+$D$4)*$D$4,2)</f>
        <v>3.18</v>
      </c>
      <c r="E24" s="112" t="n">
        <f>ROUND('收入成本'!O23/(1+$E$4)*$E$4,2)</f>
        <v>0</v>
      </c>
      <c r="F24" s="112" t="n">
        <f>SUM(B24:E24)</f>
        <v>23.31</v>
      </c>
      <c r="G24" s="112" t="n">
        <f>ROUND('收入成本'!U23/(1+$G$4)*$G$4,2)</f>
        <v>1.13</v>
      </c>
      <c r="H24" s="112" t="n">
        <f>ROUND('收入成本'!X23/(1+$H$4)*$H$4,2)</f>
        <v>0.57</v>
      </c>
      <c r="I24" s="112" t="n">
        <f>G24+H24</f>
        <v>1.7</v>
      </c>
      <c r="J24" s="112" t="n">
        <f>IF((J23+H24+G24)-SUM(B24:E24)&lt;0,0,(J23+H24+G24)-SUM(B24:E24))</f>
        <v>105.8</v>
      </c>
      <c r="K24" s="112" t="n">
        <f>IF((J23+H24+G24)-SUM(B24:E24)&gt;0,0,SUM(B24:E24)-(J23+H24+G24))</f>
        <v>0</v>
      </c>
      <c r="L24" s="112" t="n">
        <f>ROUND(K24*$L$4,2)</f>
        <v>0</v>
      </c>
      <c r="M24" s="112" t="n">
        <f>ROUND(K24*$M$4,2)</f>
        <v>0</v>
      </c>
      <c r="N24" s="112" t="n">
        <f>ROUND(K24*$N$4,2)</f>
        <v>0</v>
      </c>
      <c r="O24" s="115"/>
      <c r="P24" s="112" t="n">
        <f>SUM(K24:O24)</f>
        <v>0</v>
      </c>
    </row>
    <row r="25" ht="14.002500000000003" customHeight="1">
      <c r="A25" s="111" t="n">
        <v>21</v>
      </c>
      <c r="B25" s="112" t="n">
        <f>ROUND('收入成本'!G24/(1+$B$4)*$B$4,2)</f>
        <v>20.13</v>
      </c>
      <c r="C25" s="112"/>
      <c r="D25" s="112" t="n">
        <f>ROUND('收入成本'!K24/(1+$D$4)*$D$4,2)</f>
        <v>3.18</v>
      </c>
      <c r="E25" s="112" t="n">
        <f>ROUND('收入成本'!O24/(1+$E$4)*$E$4,2)</f>
        <v>0</v>
      </c>
      <c r="F25" s="112" t="n">
        <f>SUM(B25:E25)</f>
        <v>23.31</v>
      </c>
      <c r="G25" s="112" t="n">
        <f>ROUND('收入成本'!U24/(1+$G$4)*$G$4,2)</f>
        <v>1.13</v>
      </c>
      <c r="H25" s="112" t="n">
        <f>ROUND('收入成本'!X24/(1+$H$4)*$H$4,2)</f>
        <v>0.57</v>
      </c>
      <c r="I25" s="112" t="n">
        <f>G25+H25</f>
        <v>1.7</v>
      </c>
      <c r="J25" s="112" t="n">
        <f>IF((J24+H25+G25)-SUM(B25:E25)&lt;0,0,(J24+H25+G25)-SUM(B25:E25))</f>
        <v>84.19</v>
      </c>
      <c r="K25" s="112" t="n">
        <f>IF((J24+H25+G25)-SUM(B25:E25)&gt;0,0,SUM(B25:E25)-(J24+H25+G25))</f>
        <v>0</v>
      </c>
      <c r="L25" s="112" t="n">
        <f>ROUND(K25*$L$4,2)</f>
        <v>0</v>
      </c>
      <c r="M25" s="112" t="n">
        <f>ROUND(K25*$M$4,2)</f>
        <v>0</v>
      </c>
      <c r="N25" s="112" t="n">
        <f>ROUND(K25*$N$4,2)</f>
        <v>0</v>
      </c>
      <c r="O25" s="115"/>
      <c r="P25" s="112" t="n">
        <f>SUM(K25:O25)</f>
        <v>0</v>
      </c>
    </row>
    <row r="26" ht="14.002500000000003" customHeight="1">
      <c r="A26" s="111" t="n">
        <v>22</v>
      </c>
      <c r="B26" s="112" t="n">
        <f>ROUND('收入成本'!G25/(1+$B$4)*$B$4,2)</f>
        <v>21.66</v>
      </c>
      <c r="C26" s="112"/>
      <c r="D26" s="112" t="n">
        <f>ROUND('收入成本'!K25/(1+$D$4)*$D$4,2)</f>
        <v>3.51</v>
      </c>
      <c r="E26" s="112" t="n">
        <f>ROUND('收入成本'!O25/(1+$E$4)*$E$4,2)</f>
        <v>0</v>
      </c>
      <c r="F26" s="112" t="n">
        <f>SUM(B26:E26)</f>
        <v>25.17</v>
      </c>
      <c r="G26" s="112" t="n">
        <f>ROUND('收入成本'!U25/(1+$G$4)*$G$4,2)</f>
        <v>1.13</v>
      </c>
      <c r="H26" s="112" t="n">
        <f>ROUND('收入成本'!X25/(1+$H$4)*$H$4,2)</f>
        <v>0.59</v>
      </c>
      <c r="I26" s="112" t="n">
        <f>G26+H26</f>
        <v>1.72</v>
      </c>
      <c r="J26" s="112" t="n">
        <f>IF((J25+H26+G26)-SUM(B26:E26)&lt;0,0,(J25+H26+G26)-SUM(B26:E26))</f>
        <v>60.74</v>
      </c>
      <c r="K26" s="112" t="n">
        <f>IF((J25+H26+G26)-SUM(B26:E26)&gt;0,0,SUM(B26:E26)-(J25+H26+G26))</f>
        <v>0</v>
      </c>
      <c r="L26" s="112" t="n">
        <f>ROUND(K26*$L$4,2)</f>
        <v>0</v>
      </c>
      <c r="M26" s="112" t="n">
        <f>ROUND(K26*$M$4,2)</f>
        <v>0</v>
      </c>
      <c r="N26" s="112" t="n">
        <f>ROUND(K26*$N$4,2)</f>
        <v>0</v>
      </c>
      <c r="O26" s="115"/>
      <c r="P26" s="112" t="n">
        <f>SUM(K26:O26)</f>
        <v>0</v>
      </c>
    </row>
    <row r="27" ht="14.002500000000003" customHeight="1">
      <c r="A27" s="111" t="n">
        <v>23</v>
      </c>
      <c r="B27" s="112" t="n">
        <f>ROUND('收入成本'!G26/(1+$B$4)*$B$4,2)</f>
        <v>21.66</v>
      </c>
      <c r="C27" s="112"/>
      <c r="D27" s="112" t="n">
        <f>ROUND('收入成本'!K26/(1+$D$4)*$D$4,2)</f>
        <v>3.51</v>
      </c>
      <c r="E27" s="112" t="n">
        <f>ROUND('收入成本'!O26/(1+$E$4)*$E$4,2)</f>
        <v>0</v>
      </c>
      <c r="F27" s="112" t="n">
        <f>SUM(B27:E27)</f>
        <v>25.17</v>
      </c>
      <c r="G27" s="112" t="n">
        <f>ROUND('收入成本'!U26/(1+$G$4)*$G$4,2)</f>
        <v>1.13</v>
      </c>
      <c r="H27" s="112" t="n">
        <f>ROUND('收入成本'!X26/(1+$H$4)*$H$4,2)</f>
        <v>0.59</v>
      </c>
      <c r="I27" s="112" t="n">
        <f>G27+H27</f>
        <v>1.72</v>
      </c>
      <c r="J27" s="112" t="n">
        <f>IF((J26+H27+G27)-SUM(B27:E27)&lt;0,0,(J26+H27+G27)-SUM(B27:E27))</f>
        <v>37.29</v>
      </c>
      <c r="K27" s="112" t="n">
        <f>IF((J26+H27+G27)-SUM(B27:E27)&gt;0,0,SUM(B27:E27)-(J26+H27+G27))</f>
        <v>0</v>
      </c>
      <c r="L27" s="112" t="n">
        <f>ROUND(K27*$L$4,2)</f>
        <v>0</v>
      </c>
      <c r="M27" s="112" t="n">
        <f>ROUND(K27*$M$4,2)</f>
        <v>0</v>
      </c>
      <c r="N27" s="112" t="n">
        <f>ROUND(K27*$N$4,2)</f>
        <v>0</v>
      </c>
      <c r="O27" s="115"/>
      <c r="P27" s="112" t="n">
        <f>SUM(K27:O27)</f>
        <v>0</v>
      </c>
    </row>
    <row r="28" ht="14.002500000000003" customHeight="1">
      <c r="A28" s="111" t="n">
        <v>24</v>
      </c>
      <c r="B28" s="112" t="n">
        <f>ROUND('收入成本'!G27/(1+$B$4)*$B$4,2)</f>
        <v>21.66</v>
      </c>
      <c r="C28" s="112"/>
      <c r="D28" s="112" t="n">
        <f>ROUND('收入成本'!K27/(1+$D$4)*$D$4,2)</f>
        <v>3.51</v>
      </c>
      <c r="E28" s="112" t="n">
        <f>ROUND('收入成本'!O27/(1+$E$4)*$E$4,2)</f>
        <v>0</v>
      </c>
      <c r="F28" s="112" t="n">
        <f>SUM(B28:E28)</f>
        <v>25.17</v>
      </c>
      <c r="G28" s="112" t="n">
        <f>ROUND('收入成本'!U27/(1+$G$4)*$G$4,2)</f>
        <v>1.13</v>
      </c>
      <c r="H28" s="112" t="n">
        <f>ROUND('收入成本'!X27/(1+$H$4)*$H$4,2)</f>
        <v>0.59</v>
      </c>
      <c r="I28" s="112" t="n">
        <f>G28+H28</f>
        <v>1.72</v>
      </c>
      <c r="J28" s="112" t="n">
        <f>IF((J27+H28+G28)-SUM(B28:E28)&lt;0,0,(J27+H28+G28)-SUM(B28:E28))</f>
        <v>13.84</v>
      </c>
      <c r="K28" s="112" t="n">
        <f>IF((J27+H28+G28)-SUM(B28:E28)&gt;0,0,SUM(B28:E28)-(J27+H28+G28))</f>
        <v>0</v>
      </c>
      <c r="L28" s="112" t="n">
        <f>ROUND(K28*$L$4,2)</f>
        <v>0</v>
      </c>
      <c r="M28" s="112" t="n">
        <f>ROUND(K28*$M$4,2)</f>
        <v>0</v>
      </c>
      <c r="N28" s="112" t="n">
        <f>ROUND(K28*$N$4,2)</f>
        <v>0</v>
      </c>
      <c r="O28" s="115"/>
      <c r="P28" s="112" t="n">
        <f>SUM(K28:O28)</f>
        <v>0</v>
      </c>
    </row>
    <row r="29" ht="14.002500000000003" customHeight="1">
      <c r="A29" s="111" t="n">
        <v>25</v>
      </c>
      <c r="B29" s="112" t="n">
        <f>ROUND('收入成本'!G28/(1+$B$4)*$B$4,2)</f>
        <v>21.66</v>
      </c>
      <c r="C29" s="112"/>
      <c r="D29" s="112" t="n">
        <f>ROUND('收入成本'!K28/(1+$D$4)*$D$4,2)</f>
        <v>3.51</v>
      </c>
      <c r="E29" s="112" t="n">
        <f>ROUND('收入成本'!O28/(1+$E$4)*$E$4,2)</f>
        <v>0</v>
      </c>
      <c r="F29" s="112" t="n">
        <f>SUM(B29:E29)</f>
        <v>25.17</v>
      </c>
      <c r="G29" s="112" t="n">
        <f>ROUND('收入成本'!U28/(1+$G$4)*$G$4,2)</f>
        <v>1.13</v>
      </c>
      <c r="H29" s="112" t="n">
        <f>ROUND('收入成本'!X28/(1+$H$4)*$H$4,2)</f>
        <v>0.59</v>
      </c>
      <c r="I29" s="112" t="n">
        <f>G29+H29</f>
        <v>1.72</v>
      </c>
      <c r="J29" s="112" t="n">
        <f>IF((J28+H29+G29)-SUM(B29:E29)&lt;0,0,(J28+H29+G29)-SUM(B29:E29))</f>
        <v>0</v>
      </c>
      <c r="K29" s="112" t="n">
        <f>IF((J28+H29+G29)-SUM(B29:E29)&gt;0,0,SUM(B29:E29)-(J28+H29+G29))</f>
        <v>9.61</v>
      </c>
      <c r="L29" s="112" t="n">
        <f>ROUND(K29*$L$4,2)</f>
        <v>0.48</v>
      </c>
      <c r="M29" s="112" t="n">
        <f>ROUND(K29*$M$4,2)</f>
        <v>0.29</v>
      </c>
      <c r="N29" s="112" t="n">
        <f>ROUND(K29*$N$4,2)</f>
        <v>0.19</v>
      </c>
      <c r="O29" s="115"/>
      <c r="P29" s="112" t="n">
        <f>SUM(K29:O29)</f>
        <v>10.57</v>
      </c>
    </row>
    <row r="30" ht="14.002500000000003" customHeight="1">
      <c r="A30" s="111" t="n">
        <v>26</v>
      </c>
      <c r="B30" s="112" t="n">
        <f>ROUND('收入成本'!G29/(1+$B$4)*$B$4,2)</f>
        <v>21.66</v>
      </c>
      <c r="C30" s="112"/>
      <c r="D30" s="112" t="n">
        <f>ROUND('收入成本'!K29/(1+$D$4)*$D$4,2)</f>
        <v>3.51</v>
      </c>
      <c r="E30" s="112" t="n">
        <f>ROUND('收入成本'!O29/(1+$E$4)*$E$4,2)</f>
        <v>0</v>
      </c>
      <c r="F30" s="112" t="n">
        <f>SUM(B30:E30)</f>
        <v>25.17</v>
      </c>
      <c r="G30" s="112" t="n">
        <f>ROUND('收入成本'!U29/(1+$G$4)*$G$4,2)</f>
        <v>1.13</v>
      </c>
      <c r="H30" s="112" t="n">
        <f>ROUND('收入成本'!X29/(1+$H$4)*$H$4,2)</f>
        <v>0.59</v>
      </c>
      <c r="I30" s="112" t="n">
        <f>G30+H30</f>
        <v>1.72</v>
      </c>
      <c r="J30" s="112" t="n">
        <f>IF((J29+H30+G30)-SUM(B30:E30)&lt;0,0,(J29+H30+G30)-SUM(B30:E30))</f>
        <v>0</v>
      </c>
      <c r="K30" s="112" t="n">
        <f>IF((J29+H30+G30)-SUM(B30:E30)&gt;0,0,SUM(B30:E30)-(J29+H30+G30))</f>
        <v>23.45</v>
      </c>
      <c r="L30" s="112" t="n">
        <f>ROUND(K30*$L$4,2)</f>
        <v>1.17</v>
      </c>
      <c r="M30" s="112" t="n">
        <f>ROUND(K30*$M$4,2)</f>
        <v>0.7</v>
      </c>
      <c r="N30" s="112" t="n">
        <f>ROUND(K30*$N$4,2)</f>
        <v>0.47</v>
      </c>
      <c r="O30" s="115"/>
      <c r="P30" s="112" t="n">
        <f>SUM(K30:O30)</f>
        <v>25.79</v>
      </c>
    </row>
    <row r="31" ht="14.002500000000003" customHeight="1">
      <c r="A31" s="111" t="n">
        <v>27</v>
      </c>
      <c r="B31" s="112" t="n">
        <f>ROUND('收入成本'!G30/(1+$B$4)*$B$4,2)</f>
        <v>23.38</v>
      </c>
      <c r="C31" s="112"/>
      <c r="D31" s="112" t="n">
        <f>ROUND('收入成本'!K30/(1+$D$4)*$D$4,2)</f>
        <v>3.84</v>
      </c>
      <c r="E31" s="112" t="n">
        <f>ROUND('收入成本'!O30/(1+$E$4)*$E$4,2)</f>
        <v>0</v>
      </c>
      <c r="F31" s="112" t="n">
        <f>SUM(B31:E31)</f>
        <v>27.22</v>
      </c>
      <c r="G31" s="112" t="n">
        <f>ROUND('收入成本'!U30/(1+$G$4)*$G$4,2)</f>
        <v>1.13</v>
      </c>
      <c r="H31" s="112" t="n">
        <f>ROUND('收入成本'!X30/(1+$H$4)*$H$4,2)</f>
        <v>0.62</v>
      </c>
      <c r="I31" s="112" t="n">
        <f>G31+H31</f>
        <v>1.75</v>
      </c>
      <c r="J31" s="112" t="n">
        <f>IF((J30+H31+G31)-SUM(B31:E31)&lt;0,0,(J30+H31+G31)-SUM(B31:E31))</f>
        <v>0</v>
      </c>
      <c r="K31" s="112" t="n">
        <f>IF((J30+H31+G31)-SUM(B31:E31)&gt;0,0,SUM(B31:E31)-(J30+H31+G31))</f>
        <v>25.47</v>
      </c>
      <c r="L31" s="112" t="n">
        <f>ROUND(K31*$L$4,2)</f>
        <v>1.27</v>
      </c>
      <c r="M31" s="112" t="n">
        <f>ROUND(K31*$M$4,2)</f>
        <v>0.76</v>
      </c>
      <c r="N31" s="112" t="n">
        <f>ROUND(K31*$N$4,2)</f>
        <v>0.51</v>
      </c>
      <c r="O31" s="115"/>
      <c r="P31" s="112" t="n">
        <f>SUM(K31:O31)</f>
        <v>28.01</v>
      </c>
    </row>
    <row r="32" ht="14.002500000000003" customHeight="1">
      <c r="A32" s="111" t="n">
        <v>28</v>
      </c>
      <c r="B32" s="112" t="n">
        <f>ROUND('收入成本'!G31/(1+$B$4)*$B$4,2)</f>
        <v>23.38</v>
      </c>
      <c r="C32" s="112"/>
      <c r="D32" s="112" t="n">
        <f>ROUND('收入成本'!K31/(1+$D$4)*$D$4,2)</f>
        <v>3.84</v>
      </c>
      <c r="E32" s="112" t="n">
        <f>ROUND('收入成本'!O31/(1+$E$4)*$E$4,2)</f>
        <v>0</v>
      </c>
      <c r="F32" s="112" t="n">
        <f>SUM(B32:E32)</f>
        <v>27.22</v>
      </c>
      <c r="G32" s="112" t="n">
        <f>ROUND('收入成本'!U31/(1+$G$4)*$G$4,2)</f>
        <v>1.13</v>
      </c>
      <c r="H32" s="112" t="n">
        <f>ROUND('收入成本'!X31/(1+$H$4)*$H$4,2)</f>
        <v>0.62</v>
      </c>
      <c r="I32" s="112" t="n">
        <f>G32+H32</f>
        <v>1.75</v>
      </c>
      <c r="J32" s="112" t="n">
        <f>IF((J31+H32+G32)-SUM(B32:E32)&lt;0,0,(J31+H32+G32)-SUM(B32:E32))</f>
        <v>0</v>
      </c>
      <c r="K32" s="112" t="n">
        <f>IF((J31+H32+G32)-SUM(B32:E32)&gt;0,0,SUM(B32:E32)-(J31+H32+G32))</f>
        <v>25.47</v>
      </c>
      <c r="L32" s="112" t="n">
        <f>ROUND(K32*$L$4,2)</f>
        <v>1.27</v>
      </c>
      <c r="M32" s="112" t="n">
        <f>ROUND(K32*$M$4,2)</f>
        <v>0.76</v>
      </c>
      <c r="N32" s="112" t="n">
        <f>ROUND(K32*$N$4,2)</f>
        <v>0.51</v>
      </c>
      <c r="O32" s="115"/>
      <c r="P32" s="112" t="n">
        <f>SUM(K32:O32)</f>
        <v>28.01</v>
      </c>
    </row>
    <row r="33" ht="14.002500000000003" customHeight="1">
      <c r="A33" s="111" t="n">
        <v>29</v>
      </c>
      <c r="B33" s="112" t="n">
        <f>ROUND('收入成本'!G32/(1+$B$4)*$B$4,2)</f>
        <v>23.38</v>
      </c>
      <c r="C33" s="112"/>
      <c r="D33" s="112" t="n">
        <f>ROUND('收入成本'!K32/(1+$D$4)*$D$4,2)</f>
        <v>3.84</v>
      </c>
      <c r="E33" s="112" t="n">
        <f>ROUND('收入成本'!O32/(1+$E$4)*$E$4,2)</f>
        <v>0</v>
      </c>
      <c r="F33" s="112" t="n">
        <f>SUM(B33:E33)</f>
        <v>27.22</v>
      </c>
      <c r="G33" s="112" t="n">
        <f>ROUND('收入成本'!U32/(1+$G$4)*$G$4,2)</f>
        <v>1.13</v>
      </c>
      <c r="H33" s="112" t="n">
        <f>ROUND('收入成本'!X32/(1+$H$4)*$H$4,2)</f>
        <v>0.62</v>
      </c>
      <c r="I33" s="112" t="n">
        <f>G33+H33</f>
        <v>1.75</v>
      </c>
      <c r="J33" s="112" t="n">
        <f>IF((J32+H33+G33)-SUM(B33:E33)&lt;0,0,(J32+H33+G33)-SUM(B33:E33))</f>
        <v>0</v>
      </c>
      <c r="K33" s="112" t="n">
        <f>IF((J32+H33+G33)-SUM(B33:E33)&gt;0,0,SUM(B33:E33)-(J32+H33+G33))</f>
        <v>25.47</v>
      </c>
      <c r="L33" s="112" t="n">
        <f>ROUND(K33*$L$4,2)</f>
        <v>1.27</v>
      </c>
      <c r="M33" s="112" t="n">
        <f>ROUND(K33*$M$4,2)</f>
        <v>0.76</v>
      </c>
      <c r="N33" s="112" t="n">
        <f>ROUND(K33*$N$4,2)</f>
        <v>0.51</v>
      </c>
      <c r="O33" s="115"/>
      <c r="P33" s="112" t="n">
        <f>SUM(K33:O33)</f>
        <v>28.01</v>
      </c>
    </row>
    <row r="34" ht="14.002500000000003" customHeight="1">
      <c r="A34" s="111" t="n">
        <v>30</v>
      </c>
      <c r="B34" s="112" t="n">
        <f>ROUND('收入成本'!G33/(1+$B$4)*$B$4,2)</f>
        <v>23.38</v>
      </c>
      <c r="C34" s="112"/>
      <c r="D34" s="112" t="n">
        <f>ROUND('收入成本'!K33/(1+$D$4)*$D$4,2)</f>
        <v>3.84</v>
      </c>
      <c r="E34" s="112" t="n">
        <f>ROUND('收入成本'!O33/(1+$E$4)*$E$4,2)</f>
        <v>0</v>
      </c>
      <c r="F34" s="112" t="n">
        <f>SUM(B34:E34)</f>
        <v>27.22</v>
      </c>
      <c r="G34" s="112" t="n">
        <f>ROUND('收入成本'!U33/(1+$G$4)*$G$4,2)</f>
        <v>1.13</v>
      </c>
      <c r="H34" s="112" t="n">
        <f>ROUND('收入成本'!X33/(1+$H$4)*$H$4,2)</f>
        <v>0.62</v>
      </c>
      <c r="I34" s="112" t="n">
        <f>G34+H34</f>
        <v>1.75</v>
      </c>
      <c r="J34" s="112" t="n">
        <f>IF((J33+H34+G34)-SUM(B34:E34)&lt;0,0,(J33+H34+G34)-SUM(B34:E34))</f>
        <v>0</v>
      </c>
      <c r="K34" s="112" t="n">
        <f>IF((J33+H34+G34)-SUM(B34:E34)&gt;0,0,SUM(B34:E34)-(J33+H34+G34))</f>
        <v>25.47</v>
      </c>
      <c r="L34" s="112" t="n">
        <f>ROUND(K34*$L$4,2)</f>
        <v>1.27</v>
      </c>
      <c r="M34" s="112" t="n">
        <f>ROUND(K34*$M$4,2)</f>
        <v>0.76</v>
      </c>
      <c r="N34" s="112" t="n">
        <f>ROUND(K34*$N$4,2)</f>
        <v>0.51</v>
      </c>
      <c r="O34" s="115"/>
      <c r="P34" s="112" t="n">
        <f>SUM(K34:O34)</f>
        <v>28.01</v>
      </c>
    </row>
    <row r="35" ht="14.002500000000003" customHeight="1" hidden="1">
      <c r="A35" s="111" t="n">
        <v>31</v>
      </c>
      <c r="B35" s="112" t="n">
        <f>ROUND('收入成本'!G34/(1+$B$4)*$B$4,2)</f>
        <v>0</v>
      </c>
      <c r="C35" s="112"/>
      <c r="D35" s="112" t="n">
        <f>ROUND('收入成本'!K34/(1+$D$4)*$D$4,2)</f>
        <v>0</v>
      </c>
      <c r="E35" s="112" t="n">
        <f>ROUND('收入成本'!O33/(1+$E$4)*$E$4,2)</f>
        <v>0</v>
      </c>
      <c r="F35" s="112" t="n">
        <f>SUM(B35:E35)</f>
        <v>0</v>
      </c>
      <c r="G35" s="112" t="n">
        <f>ROUND('收入成本'!U33/(1+$G$4)*$G$4,2)</f>
        <v>1.13</v>
      </c>
      <c r="H35" s="112" t="n">
        <f>ROUND('收入成本'!X33/(1+$H$4)*$H$4,2)</f>
        <v>0.62</v>
      </c>
      <c r="I35" s="112" t="n">
        <f>G35+H35</f>
        <v>1.75</v>
      </c>
      <c r="J35" s="112" t="n">
        <f>IF((J34+H35+G35)-SUM(B35:E35)&lt;0,0,(J34+H35+G35)-SUM(B35:E35))</f>
        <v>1.75</v>
      </c>
      <c r="K35" s="112" t="n">
        <f>IF((J34+H35+G35)-SUM(B35:E35)&gt;0,0,SUM(B35:E35)-(J34+H35+G35))</f>
        <v>0</v>
      </c>
      <c r="L35" s="112" t="n">
        <f>ROUND(K35*$L$4,2)</f>
        <v>0</v>
      </c>
      <c r="M35" s="112" t="n">
        <f>ROUND(K35*$M$4,2)</f>
        <v>0</v>
      </c>
      <c r="N35" s="112" t="n">
        <f>ROUND(K35*$N$4,2)</f>
        <v>0</v>
      </c>
      <c r="O35" s="115"/>
      <c r="P35" s="112" t="n">
        <f>SUM(K35:O35)</f>
        <v>0</v>
      </c>
    </row>
    <row r="36" ht="14.002500000000003" customHeight="1" hidden="1">
      <c r="A36" s="111"/>
      <c r="B36" s="112"/>
      <c r="C36" s="112"/>
      <c r="D36" s="112"/>
      <c r="E36" s="112"/>
      <c r="F36" s="112"/>
      <c r="G36" s="112"/>
      <c r="H36" s="112"/>
      <c r="I36" s="112"/>
      <c r="J36" s="112"/>
      <c r="K36" s="112"/>
      <c r="L36" s="112"/>
      <c r="M36" s="112"/>
      <c r="N36" s="112"/>
      <c r="O36" s="115"/>
      <c r="P36" s="112"/>
    </row>
    <row r="37" ht="14.002500000000003" customHeight="1">
      <c r="A37" s="113" t="s">
        <v>195</v>
      </c>
      <c r="B37" s="114" t="n">
        <f>SUM(B5:B36)</f>
        <v>548.36</v>
      </c>
      <c r="C37" s="114" t="n">
        <f>SUM(C5:C36)</f>
        <v>0</v>
      </c>
      <c r="D37" s="114" t="n">
        <f>SUM(D5:D36)</f>
        <v>85.86</v>
      </c>
      <c r="E37" s="114" t="n">
        <f>SUM(E5:E36)</f>
        <v>0</v>
      </c>
      <c r="F37" s="114" t="n">
        <f>SUM(F5:F36)</f>
        <v>634.22</v>
      </c>
      <c r="G37" s="114" t="n">
        <f>SUM(G5:G36)</f>
        <v>32.79</v>
      </c>
      <c r="H37" s="114" t="n">
        <f>SUM(H5:H36)</f>
        <v>48.58</v>
      </c>
      <c r="I37" s="114" t="n">
        <f>SUM(I5:I36)</f>
        <v>81.37</v>
      </c>
      <c r="J37" s="114"/>
      <c r="K37" s="114" t="n">
        <f>SUM(K7:K36)</f>
        <v>134.94</v>
      </c>
      <c r="L37" s="114" t="n">
        <f>SUM(L7:L36)</f>
        <v>6.73</v>
      </c>
      <c r="M37" s="114" t="n">
        <f>SUM(M7:M36)</f>
        <v>4.03</v>
      </c>
      <c r="N37" s="114" t="n">
        <f>SUM(N7:N36)</f>
        <v>2.7</v>
      </c>
      <c r="O37" s="114" t="n">
        <f>SUM(O7:O36)</f>
        <v>0</v>
      </c>
      <c r="P37" s="114" t="n">
        <f>SUM(P7:P36)</f>
        <v>148.4</v>
      </c>
    </row>
  </sheetData>
  <mergeCells count="14">
    <mergeCell ref="J3:J4"/>
    <mergeCell ref="A1:A4"/>
    <mergeCell ref="B1:K1"/>
    <mergeCell ref="F3:F4"/>
    <mergeCell ref="K2:K4"/>
    <mergeCell ref="P1:P4"/>
    <mergeCell ref="Q1:V1"/>
    <mergeCell ref="G2:J2"/>
    <mergeCell ref="M1:M3"/>
    <mergeCell ref="L1:L3"/>
    <mergeCell ref="I3:I4"/>
    <mergeCell ref="B2:F2"/>
    <mergeCell ref="N1:N3"/>
    <mergeCell ref="O1:O3"/>
  </mergeCells>
  <phoneticPr fontId="1"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2" max="2" width="5.33203125" customWidth="1" style="548"/>
    <col min="3" max="3" width="11.8330078125" customWidth="1" style="548"/>
    <col min="4" max="4" width="9.3310546875" customWidth="1" style="548"/>
    <col min="5" max="5" width="11.666015625" customWidth="1" style="548"/>
    <col min="6" max="6" width="12.83203125" customWidth="1" style="548"/>
    <col min="7" max="7" width="9.498046875" customWidth="1" style="548"/>
    <col min="8" max="8" width="12" customWidth="1" style="8"/>
    <col min="9" max="9" width="14.666015625" customWidth="1" style="548"/>
  </cols>
  <sheetData>
    <row r="2" ht="14.002500000000003" customHeight="1">
      <c r="B2" s="70"/>
      <c r="C2" s="70"/>
      <c r="D2" s="70"/>
      <c r="E2" s="70"/>
      <c r="F2" s="70"/>
      <c r="G2" s="70"/>
      <c r="H2" s="454" t="s">
        <v>343</v>
      </c>
      <c r="I2" s="454"/>
    </row>
    <row r="3" ht="14.002500000000003" customHeight="1">
      <c r="B3" s="455" t="s">
        <v>337</v>
      </c>
      <c r="C3" s="455" t="s">
        <v>396</v>
      </c>
      <c r="D3" s="451" t="s">
        <v>397</v>
      </c>
      <c r="E3" s="455" t="s">
        <v>398</v>
      </c>
      <c r="F3" s="455" t="s">
        <v>399</v>
      </c>
      <c r="G3" s="455" t="s">
        <v>400</v>
      </c>
      <c r="H3" s="455" t="s">
        <v>401</v>
      </c>
      <c r="I3" s="455" t="s">
        <v>402</v>
      </c>
    </row>
    <row r="4" ht="13.75" customHeight="1">
      <c r="B4" s="456"/>
      <c r="C4" s="456"/>
      <c r="D4" s="452"/>
      <c r="E4" s="456"/>
      <c r="F4" s="456"/>
      <c r="G4" s="456"/>
      <c r="H4" s="456"/>
      <c r="I4" s="456"/>
    </row>
    <row r="5" ht="14.002500000000003" customHeight="1">
      <c r="B5" s="341" t="n">
        <v>1</v>
      </c>
      <c r="C5" s="20" t="n">
        <v>0</v>
      </c>
      <c r="D5" s="20" t="n">
        <f>'分年计划及建设期利息'!E23</f>
        <v>2200</v>
      </c>
      <c r="E5" s="341"/>
      <c r="F5" s="100" t="n">
        <f>C5+D5-E5</f>
        <v>2200</v>
      </c>
      <c r="G5" s="16" t="n">
        <v>0.045</v>
      </c>
      <c r="H5" s="14" t="n">
        <f>F5*G5</f>
        <v>99</v>
      </c>
      <c r="I5" s="14" t="n">
        <f>E5+H5</f>
        <v>99</v>
      </c>
    </row>
    <row r="6" ht="14.002500000000003" customHeight="1">
      <c r="B6" s="341" t="n">
        <v>2</v>
      </c>
      <c r="C6" s="20" t="n">
        <f>F5</f>
        <v>2200</v>
      </c>
      <c r="D6" s="20"/>
      <c r="E6" s="341"/>
      <c r="F6" s="100" t="n">
        <f>C6+D6-E6</f>
        <v>2200</v>
      </c>
      <c r="G6" s="16" t="n">
        <f>G5</f>
        <v>0.045</v>
      </c>
      <c r="H6" s="14" t="n">
        <f>(C6+D6)*G6</f>
        <v>99</v>
      </c>
      <c r="I6" s="14" t="n">
        <f>E6+H6</f>
        <v>99</v>
      </c>
    </row>
    <row r="7" ht="14.002500000000003" customHeight="1">
      <c r="B7" s="341" t="n">
        <v>3</v>
      </c>
      <c r="C7" s="20" t="n">
        <f>F6</f>
        <v>2200</v>
      </c>
      <c r="D7" s="20"/>
      <c r="E7" s="341"/>
      <c r="F7" s="100" t="n">
        <f>C7+D7-E7</f>
        <v>2200</v>
      </c>
      <c r="G7" s="16" t="n">
        <f>G6</f>
        <v>0.045</v>
      </c>
      <c r="H7" s="14" t="n">
        <f>(C7+D7)*G7</f>
        <v>99</v>
      </c>
      <c r="I7" s="14" t="n">
        <f>E7+H7</f>
        <v>99</v>
      </c>
    </row>
    <row r="8" ht="14.002500000000003" customHeight="1">
      <c r="B8" s="341" t="n">
        <v>4</v>
      </c>
      <c r="C8" s="20" t="n">
        <f>F7</f>
        <v>2200</v>
      </c>
      <c r="D8" s="20"/>
      <c r="E8" s="341"/>
      <c r="F8" s="100" t="n">
        <f>C8+D8-E8</f>
        <v>2200</v>
      </c>
      <c r="G8" s="16" t="n">
        <f>G7</f>
        <v>0.045</v>
      </c>
      <c r="H8" s="14" t="n">
        <f>(C8+D8)*G8</f>
        <v>99</v>
      </c>
      <c r="I8" s="14" t="n">
        <f>E8+H8</f>
        <v>99</v>
      </c>
    </row>
    <row r="9" ht="14.002500000000003" customHeight="1">
      <c r="B9" s="341" t="n">
        <v>5</v>
      </c>
      <c r="C9" s="20" t="n">
        <f>F8</f>
        <v>2200</v>
      </c>
      <c r="D9" s="20"/>
      <c r="E9" s="341"/>
      <c r="F9" s="100" t="n">
        <f>C9+D9-E9</f>
        <v>2200</v>
      </c>
      <c r="G9" s="16" t="n">
        <f>G8</f>
        <v>0.045</v>
      </c>
      <c r="H9" s="14" t="n">
        <f>(C9+D9)*G9</f>
        <v>99</v>
      </c>
      <c r="I9" s="14" t="n">
        <f>E9+H9</f>
        <v>99</v>
      </c>
    </row>
    <row r="10" ht="14.002500000000003" customHeight="1">
      <c r="B10" s="341" t="n">
        <v>6</v>
      </c>
      <c r="C10" s="20" t="n">
        <f>F9</f>
        <v>2200</v>
      </c>
      <c r="D10" s="20"/>
      <c r="E10" s="341"/>
      <c r="F10" s="100" t="n">
        <f>C10+D10-E10</f>
        <v>2200</v>
      </c>
      <c r="G10" s="16" t="n">
        <f>G9</f>
        <v>0.045</v>
      </c>
      <c r="H10" s="14" t="n">
        <f>(C10+D10)*G10</f>
        <v>99</v>
      </c>
      <c r="I10" s="14" t="n">
        <f>E10+H10</f>
        <v>99</v>
      </c>
    </row>
    <row r="11" ht="14.002500000000003" customHeight="1">
      <c r="B11" s="341" t="n">
        <v>7</v>
      </c>
      <c r="C11" s="20" t="n">
        <f>F10</f>
        <v>2200</v>
      </c>
      <c r="D11" s="20"/>
      <c r="E11" s="341"/>
      <c r="F11" s="100" t="n">
        <f>C11+D11-E11</f>
        <v>2200</v>
      </c>
      <c r="G11" s="16" t="n">
        <f>G10</f>
        <v>0.045</v>
      </c>
      <c r="H11" s="14" t="n">
        <f>(C11+D11)*G11</f>
        <v>99</v>
      </c>
      <c r="I11" s="14" t="n">
        <f>E11+H11</f>
        <v>99</v>
      </c>
    </row>
    <row r="12" ht="14.002500000000003" customHeight="1">
      <c r="B12" s="341" t="n">
        <v>8</v>
      </c>
      <c r="C12" s="20" t="n">
        <f>F11</f>
        <v>2200</v>
      </c>
      <c r="D12" s="20"/>
      <c r="E12" s="341"/>
      <c r="F12" s="100" t="n">
        <f>C12+D12-E12</f>
        <v>2200</v>
      </c>
      <c r="G12" s="16" t="n">
        <f>G11</f>
        <v>0.045</v>
      </c>
      <c r="H12" s="14" t="n">
        <f>(C12+D12)*G12</f>
        <v>99</v>
      </c>
      <c r="I12" s="14" t="n">
        <f>E12+H12</f>
        <v>99</v>
      </c>
    </row>
    <row r="13" ht="14.002500000000003" customHeight="1">
      <c r="B13" s="341" t="n">
        <v>9</v>
      </c>
      <c r="C13" s="20" t="n">
        <f>F12</f>
        <v>2200</v>
      </c>
      <c r="D13" s="20"/>
      <c r="E13" s="341"/>
      <c r="F13" s="100" t="n">
        <f>C13+D13-E13</f>
        <v>2200</v>
      </c>
      <c r="G13" s="16" t="n">
        <f>G12</f>
        <v>0.045</v>
      </c>
      <c r="H13" s="14" t="n">
        <f>(C13+D13)*G13</f>
        <v>99</v>
      </c>
      <c r="I13" s="14" t="n">
        <f>E13+H13</f>
        <v>99</v>
      </c>
    </row>
    <row r="14" ht="14.002500000000003" customHeight="1">
      <c r="B14" s="341" t="n">
        <v>10</v>
      </c>
      <c r="C14" s="20" t="n">
        <f>F13</f>
        <v>2200</v>
      </c>
      <c r="D14" s="20"/>
      <c r="E14" s="341"/>
      <c r="F14" s="100" t="n">
        <f>C14+D14-E14</f>
        <v>2200</v>
      </c>
      <c r="G14" s="16" t="n">
        <f>G13</f>
        <v>0.045</v>
      </c>
      <c r="H14" s="14" t="n">
        <f>(C14+D14)*G14</f>
        <v>99</v>
      </c>
      <c r="I14" s="14" t="n">
        <f>E14+H14</f>
        <v>99</v>
      </c>
    </row>
    <row r="15" ht="14.002500000000003" customHeight="1">
      <c r="B15" s="341" t="n">
        <v>11</v>
      </c>
      <c r="C15" s="20" t="n">
        <f>F14</f>
        <v>2200</v>
      </c>
      <c r="D15" s="20"/>
      <c r="E15" s="341"/>
      <c r="F15" s="100" t="n">
        <f>C15+D15-E15</f>
        <v>2200</v>
      </c>
      <c r="G15" s="16" t="n">
        <f>G14</f>
        <v>0.045</v>
      </c>
      <c r="H15" s="14" t="n">
        <f>(C15+D15)*G15</f>
        <v>99</v>
      </c>
      <c r="I15" s="14" t="n">
        <f>E15+H15</f>
        <v>99</v>
      </c>
    </row>
    <row r="16" ht="14.002500000000003" customHeight="1">
      <c r="B16" s="341" t="n">
        <v>12</v>
      </c>
      <c r="C16" s="20" t="n">
        <f>F15</f>
        <v>2200</v>
      </c>
      <c r="D16" s="20"/>
      <c r="E16" s="341"/>
      <c r="F16" s="100" t="n">
        <f>C16+D16-E16</f>
        <v>2200</v>
      </c>
      <c r="G16" s="16" t="n">
        <f>G15</f>
        <v>0.045</v>
      </c>
      <c r="H16" s="14" t="n">
        <f>(C16+D16)*G16</f>
        <v>99</v>
      </c>
      <c r="I16" s="14" t="n">
        <f>E16+H16</f>
        <v>99</v>
      </c>
    </row>
    <row r="17" ht="14.002500000000003" customHeight="1">
      <c r="B17" s="341" t="n">
        <v>13</v>
      </c>
      <c r="C17" s="20" t="n">
        <f>F16</f>
        <v>2200</v>
      </c>
      <c r="D17" s="20"/>
      <c r="E17" s="341"/>
      <c r="F17" s="100" t="n">
        <f>C17+D17-E17</f>
        <v>2200</v>
      </c>
      <c r="G17" s="16" t="n">
        <f>G16</f>
        <v>0.045</v>
      </c>
      <c r="H17" s="14" t="n">
        <f>(C17+D17)*G17</f>
        <v>99</v>
      </c>
      <c r="I17" s="14" t="n">
        <f>E17+H17</f>
        <v>99</v>
      </c>
    </row>
    <row r="18" ht="14.002500000000003" customHeight="1">
      <c r="B18" s="341" t="n">
        <v>14</v>
      </c>
      <c r="C18" s="20" t="n">
        <f>F17</f>
        <v>2200</v>
      </c>
      <c r="D18" s="20"/>
      <c r="E18" s="341"/>
      <c r="F18" s="100" t="n">
        <f>C18+D18-E18</f>
        <v>2200</v>
      </c>
      <c r="G18" s="16" t="n">
        <f>G17</f>
        <v>0.045</v>
      </c>
      <c r="H18" s="14" t="n">
        <f>(C18+D18)*G18</f>
        <v>99</v>
      </c>
      <c r="I18" s="14" t="n">
        <f>E18+H18</f>
        <v>99</v>
      </c>
    </row>
    <row r="19" ht="14.002500000000003" customHeight="1">
      <c r="B19" s="341" t="n">
        <v>15</v>
      </c>
      <c r="C19" s="20" t="n">
        <f>F18</f>
        <v>2200</v>
      </c>
      <c r="D19" s="20"/>
      <c r="E19" s="341"/>
      <c r="F19" s="100" t="n">
        <f>C19+D19-E19</f>
        <v>2200</v>
      </c>
      <c r="G19" s="16" t="n">
        <f>G18</f>
        <v>0.045</v>
      </c>
      <c r="H19" s="14" t="n">
        <f>(C19+D19)*G19</f>
        <v>99</v>
      </c>
      <c r="I19" s="14" t="n">
        <f>E19+H19</f>
        <v>99</v>
      </c>
    </row>
    <row r="20" ht="14.002500000000003" customHeight="1">
      <c r="B20" s="341" t="n">
        <v>16</v>
      </c>
      <c r="C20" s="20" t="n">
        <f>F19</f>
        <v>2200</v>
      </c>
      <c r="D20" s="20"/>
      <c r="E20" s="341"/>
      <c r="F20" s="100" t="n">
        <f>C20+D20-E20</f>
        <v>2200</v>
      </c>
      <c r="G20" s="16" t="n">
        <f>G19</f>
        <v>0.045</v>
      </c>
      <c r="H20" s="14" t="n">
        <f>(C20+D20)*G20</f>
        <v>99</v>
      </c>
      <c r="I20" s="14" t="n">
        <f>E20+H20</f>
        <v>99</v>
      </c>
    </row>
    <row r="21" ht="14.002500000000003" customHeight="1">
      <c r="B21" s="341" t="n">
        <v>17</v>
      </c>
      <c r="C21" s="20" t="n">
        <f>F20</f>
        <v>2200</v>
      </c>
      <c r="D21" s="20"/>
      <c r="E21" s="341"/>
      <c r="F21" s="100" t="n">
        <f>C21+D21-E21</f>
        <v>2200</v>
      </c>
      <c r="G21" s="16" t="n">
        <f>G20</f>
        <v>0.045</v>
      </c>
      <c r="H21" s="14" t="n">
        <f>(C21+D21)*G21</f>
        <v>99</v>
      </c>
      <c r="I21" s="14" t="n">
        <f>E21+H21</f>
        <v>99</v>
      </c>
    </row>
    <row r="22" ht="14.002500000000003" customHeight="1">
      <c r="B22" s="341" t="n">
        <v>18</v>
      </c>
      <c r="C22" s="20" t="n">
        <f>F21</f>
        <v>2200</v>
      </c>
      <c r="D22" s="20"/>
      <c r="E22" s="341"/>
      <c r="F22" s="100" t="n">
        <f>C22+D22-E22</f>
        <v>2200</v>
      </c>
      <c r="G22" s="16" t="n">
        <f>G21</f>
        <v>0.045</v>
      </c>
      <c r="H22" s="14" t="n">
        <f>(C22+D22)*G22</f>
        <v>99</v>
      </c>
      <c r="I22" s="14" t="n">
        <f>E22+H22</f>
        <v>99</v>
      </c>
    </row>
    <row r="23" ht="14.002500000000003" customHeight="1">
      <c r="B23" s="341" t="n">
        <v>19</v>
      </c>
      <c r="C23" s="20" t="n">
        <f>F22</f>
        <v>2200</v>
      </c>
      <c r="D23" s="20"/>
      <c r="E23" s="341"/>
      <c r="F23" s="100" t="n">
        <f>C23+D23-E23</f>
        <v>2200</v>
      </c>
      <c r="G23" s="16" t="n">
        <f>G22</f>
        <v>0.045</v>
      </c>
      <c r="H23" s="14" t="n">
        <f>(C23+D23)*G23</f>
        <v>99</v>
      </c>
      <c r="I23" s="14" t="n">
        <f>E23+H23</f>
        <v>99</v>
      </c>
    </row>
    <row r="24" ht="14.002500000000003" customHeight="1">
      <c r="B24" s="341" t="n">
        <v>20</v>
      </c>
      <c r="C24" s="20" t="n">
        <f>F23</f>
        <v>2200</v>
      </c>
      <c r="D24" s="20"/>
      <c r="E24" s="341"/>
      <c r="F24" s="100" t="n">
        <f>C24+D24-E24</f>
        <v>2200</v>
      </c>
      <c r="G24" s="16" t="n">
        <f>G23</f>
        <v>0.045</v>
      </c>
      <c r="H24" s="14" t="n">
        <f>(C24+D24)*G24</f>
        <v>99</v>
      </c>
      <c r="I24" s="14" t="n">
        <f>E24+H24</f>
        <v>99</v>
      </c>
    </row>
    <row r="25" ht="14.002500000000003" customHeight="1">
      <c r="B25" s="341" t="n">
        <v>21</v>
      </c>
      <c r="C25" s="20" t="n">
        <f>F24</f>
        <v>2200</v>
      </c>
      <c r="D25" s="20"/>
      <c r="E25" s="341"/>
      <c r="F25" s="100" t="n">
        <f>C25+D25-E25</f>
        <v>2200</v>
      </c>
      <c r="G25" s="16" t="n">
        <f>G24</f>
        <v>0.045</v>
      </c>
      <c r="H25" s="14" t="n">
        <f>(C25+D25)*G25</f>
        <v>99</v>
      </c>
      <c r="I25" s="14" t="n">
        <f>E25+H25</f>
        <v>99</v>
      </c>
    </row>
    <row r="26" ht="14.002500000000003" customHeight="1">
      <c r="B26" s="341" t="n">
        <v>22</v>
      </c>
      <c r="C26" s="20" t="n">
        <f>F25</f>
        <v>2200</v>
      </c>
      <c r="D26" s="20"/>
      <c r="E26" s="341"/>
      <c r="F26" s="100" t="n">
        <f>C26+D26-E26</f>
        <v>2200</v>
      </c>
      <c r="G26" s="16" t="n">
        <f>G25</f>
        <v>0.045</v>
      </c>
      <c r="H26" s="14" t="n">
        <f>(C26+D26)*G26</f>
        <v>99</v>
      </c>
      <c r="I26" s="14" t="n">
        <f>E26+H26</f>
        <v>99</v>
      </c>
    </row>
    <row r="27" ht="14.002500000000003" customHeight="1">
      <c r="B27" s="341" t="n">
        <v>23</v>
      </c>
      <c r="C27" s="20" t="n">
        <f>F26</f>
        <v>2200</v>
      </c>
      <c r="D27" s="20"/>
      <c r="E27" s="341"/>
      <c r="F27" s="100" t="n">
        <f>C27+D27-E27</f>
        <v>2200</v>
      </c>
      <c r="G27" s="16" t="n">
        <f>G26</f>
        <v>0.045</v>
      </c>
      <c r="H27" s="14" t="n">
        <f>(C27+D27)*G27</f>
        <v>99</v>
      </c>
      <c r="I27" s="14" t="n">
        <f>E27+H27</f>
        <v>99</v>
      </c>
    </row>
    <row r="28" ht="14.002500000000003" customHeight="1">
      <c r="B28" s="341" t="n">
        <v>24</v>
      </c>
      <c r="C28" s="20" t="n">
        <f>F27</f>
        <v>2200</v>
      </c>
      <c r="D28" s="20"/>
      <c r="E28" s="341"/>
      <c r="F28" s="100" t="n">
        <f>C28+D28-E28</f>
        <v>2200</v>
      </c>
      <c r="G28" s="16" t="n">
        <f>G27</f>
        <v>0.045</v>
      </c>
      <c r="H28" s="14" t="n">
        <f>(C28+D28)*G28</f>
        <v>99</v>
      </c>
      <c r="I28" s="14" t="n">
        <f>E28+H28</f>
        <v>99</v>
      </c>
    </row>
    <row r="29" ht="14.002500000000003" customHeight="1">
      <c r="B29" s="341" t="n">
        <v>25</v>
      </c>
      <c r="C29" s="20" t="n">
        <f>F28</f>
        <v>2200</v>
      </c>
      <c r="D29" s="20"/>
      <c r="E29" s="341"/>
      <c r="F29" s="100" t="n">
        <f>C29+D29-E29</f>
        <v>2200</v>
      </c>
      <c r="G29" s="16" t="n">
        <f>G28</f>
        <v>0.045</v>
      </c>
      <c r="H29" s="14" t="n">
        <f>(C29+D29)*G29</f>
        <v>99</v>
      </c>
      <c r="I29" s="14" t="n">
        <f>E29+H29</f>
        <v>99</v>
      </c>
    </row>
    <row r="30" ht="14.002500000000003" customHeight="1">
      <c r="B30" s="341" t="n">
        <v>26</v>
      </c>
      <c r="C30" s="20" t="n">
        <f>F29</f>
        <v>2200</v>
      </c>
      <c r="D30" s="20"/>
      <c r="E30" s="341"/>
      <c r="F30" s="100" t="n">
        <f>C30+D30-E30</f>
        <v>2200</v>
      </c>
      <c r="G30" s="16" t="n">
        <f>G29</f>
        <v>0.045</v>
      </c>
      <c r="H30" s="14" t="n">
        <f>(C30+D30)*G30</f>
        <v>99</v>
      </c>
      <c r="I30" s="14" t="n">
        <f>E30+H30</f>
        <v>99</v>
      </c>
    </row>
    <row r="31" ht="14.002500000000003" customHeight="1">
      <c r="B31" s="341" t="n">
        <v>27</v>
      </c>
      <c r="C31" s="20" t="n">
        <f>F30</f>
        <v>2200</v>
      </c>
      <c r="D31" s="20"/>
      <c r="E31" s="341"/>
      <c r="F31" s="100" t="n">
        <f>C31+D31-E31</f>
        <v>2200</v>
      </c>
      <c r="G31" s="16" t="n">
        <f>G30</f>
        <v>0.045</v>
      </c>
      <c r="H31" s="14" t="n">
        <f>(C31+D31)*G31</f>
        <v>99</v>
      </c>
      <c r="I31" s="14" t="n">
        <f>E31+H31</f>
        <v>99</v>
      </c>
    </row>
    <row r="32" ht="14.002500000000003" customHeight="1">
      <c r="B32" s="341" t="n">
        <v>28</v>
      </c>
      <c r="C32" s="20" t="n">
        <f>F31</f>
        <v>2200</v>
      </c>
      <c r="D32" s="20"/>
      <c r="E32" s="341"/>
      <c r="F32" s="100" t="n">
        <f>C32+D32-E32</f>
        <v>2200</v>
      </c>
      <c r="G32" s="16" t="n">
        <f>G31</f>
        <v>0.045</v>
      </c>
      <c r="H32" s="14" t="n">
        <f>(C32+D32)*G32</f>
        <v>99</v>
      </c>
      <c r="I32" s="14" t="n">
        <f>E32+H32</f>
        <v>99</v>
      </c>
    </row>
    <row r="33" ht="14.002500000000003" customHeight="1">
      <c r="B33" s="341" t="n">
        <v>29</v>
      </c>
      <c r="C33" s="20" t="n">
        <f>F32</f>
        <v>2200</v>
      </c>
      <c r="D33" s="20"/>
      <c r="E33" s="341"/>
      <c r="F33" s="100" t="n">
        <f>C33+D33-E33</f>
        <v>2200</v>
      </c>
      <c r="G33" s="16" t="n">
        <f>G32</f>
        <v>0.045</v>
      </c>
      <c r="H33" s="14" t="n">
        <f>(C33+D33)*G33</f>
        <v>99</v>
      </c>
      <c r="I33" s="14" t="n">
        <f>E33+H33</f>
        <v>99</v>
      </c>
    </row>
    <row r="34" ht="14.002500000000003" customHeight="1">
      <c r="B34" s="341" t="n">
        <v>30</v>
      </c>
      <c r="C34" s="20" t="n">
        <f>F33</f>
        <v>2200</v>
      </c>
      <c r="D34" s="20"/>
      <c r="E34" s="14" t="n">
        <f>D5</f>
        <v>2200</v>
      </c>
      <c r="F34" s="100" t="n">
        <f>C34+D34-E34</f>
        <v>0</v>
      </c>
      <c r="G34" s="16" t="n">
        <f>G33</f>
        <v>0.045</v>
      </c>
      <c r="H34" s="14" t="n">
        <f>(C34+D34)*G34</f>
        <v>99</v>
      </c>
      <c r="I34" s="14" t="n">
        <f>E34+H34</f>
        <v>2299</v>
      </c>
    </row>
    <row r="35" ht="14.002500000000003" customHeight="1" hidden="1">
      <c r="B35" s="341" t="n">
        <v>31</v>
      </c>
      <c r="C35" s="20" t="n">
        <f>F34</f>
        <v>0</v>
      </c>
      <c r="D35" s="20"/>
      <c r="E35" s="14" t="n">
        <f>D6</f>
        <v>0</v>
      </c>
      <c r="F35" s="100" t="n">
        <f>C35+D35-E35</f>
        <v>0</v>
      </c>
      <c r="G35" s="16" t="n">
        <f>G34</f>
        <v>0.045</v>
      </c>
      <c r="H35" s="14" t="n">
        <f>(C35+D35)*G35</f>
        <v>0</v>
      </c>
      <c r="I35" s="14" t="n">
        <f>E35+H35</f>
        <v>0</v>
      </c>
    </row>
    <row r="36" ht="14.002500000000003" customHeight="1" hidden="1">
      <c r="B36" s="341" t="n">
        <v>32</v>
      </c>
      <c r="C36" s="20" t="n">
        <f>F35</f>
        <v>0</v>
      </c>
      <c r="D36" s="20"/>
      <c r="E36" s="14" t="n">
        <f>D7</f>
        <v>0</v>
      </c>
      <c r="F36" s="100" t="n">
        <f>C36+D36-E36</f>
        <v>0</v>
      </c>
      <c r="G36" s="16" t="n">
        <f>G35</f>
        <v>0.045</v>
      </c>
      <c r="H36" s="14" t="n">
        <f>(C36+D36)*G36</f>
        <v>0</v>
      </c>
      <c r="I36" s="14" t="n">
        <f>E36+H36</f>
        <v>0</v>
      </c>
    </row>
    <row r="37" ht="14.002500000000003" customHeight="1" hidden="1">
      <c r="B37" s="341" t="n">
        <v>33</v>
      </c>
      <c r="C37" s="20" t="n">
        <f>F36</f>
        <v>0</v>
      </c>
      <c r="D37" s="20"/>
      <c r="E37" s="14" t="n">
        <f>D8</f>
        <v>0</v>
      </c>
      <c r="F37" s="100" t="n">
        <f>C37+D37-E37</f>
        <v>0</v>
      </c>
      <c r="G37" s="16" t="n">
        <f>G36</f>
        <v>0.045</v>
      </c>
      <c r="H37" s="14" t="n">
        <f>(C37+D37)*G37</f>
        <v>0</v>
      </c>
      <c r="I37" s="14" t="n">
        <f>E37+H37</f>
        <v>0</v>
      </c>
    </row>
    <row r="38" s="99" customFormat="1" ht="14.002500000000003" customHeight="1">
      <c r="B38" s="101" t="s">
        <v>195</v>
      </c>
      <c r="C38" s="101"/>
      <c r="D38" s="101"/>
      <c r="E38" s="102" t="n">
        <f>SUM(E5:E37)</f>
        <v>2200</v>
      </c>
      <c r="F38" s="102"/>
      <c r="G38" s="102"/>
      <c r="H38" s="102" t="n">
        <f>SUM(H5:H37)</f>
        <v>2970</v>
      </c>
      <c r="I38" s="102" t="n">
        <f>SUM(I5:I37)</f>
        <v>5170</v>
      </c>
    </row>
    <row r="41" ht="14.002500000000003" customHeight="1">
      <c r="H41" s="8" t="n">
        <f>E38*4.5%*30</f>
        <v>2970</v>
      </c>
    </row>
  </sheetData>
  <mergeCells count="9">
    <mergeCell ref="G3:G4"/>
    <mergeCell ref="C3:C4"/>
    <mergeCell ref="H2:I2"/>
    <mergeCell ref="B3:B4"/>
    <mergeCell ref="D3:D4"/>
    <mergeCell ref="E3:E4"/>
    <mergeCell ref="H3:H4"/>
    <mergeCell ref="F3:F4"/>
    <mergeCell ref="I3:I4"/>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002500000000003" customHeight="1"/>
  <cols>
    <col min="2" max="2" width="5.8330078125" customWidth="1" style="548"/>
    <col min="3" max="4" width="10.6640625" customWidth="1" style="548"/>
    <col min="5" max="5" width="13.998046875" style="548"/>
    <col min="6" max="6" width="11.8330078125" style="548"/>
    <col min="7" max="10" width="11.8330078125" customWidth="1" style="548"/>
    <col min="11" max="12" width="12.9990234375" customWidth="1" style="548"/>
    <col min="13" max="13" width="15.498046875" customWidth="1" style="548"/>
  </cols>
  <sheetData>
    <row r="1" ht="14.002500000000003" customHeight="1">
      <c r="B1" s="457" t="s">
        <v>337</v>
      </c>
      <c r="C1" s="457" t="s">
        <v>403</v>
      </c>
      <c r="D1" s="457"/>
      <c r="E1" s="457"/>
      <c r="F1" s="458" t="s">
        <v>404</v>
      </c>
      <c r="G1" s="459"/>
      <c r="H1" s="458" t="s">
        <v>405</v>
      </c>
      <c r="I1" s="460"/>
      <c r="J1" s="461" t="s">
        <v>406</v>
      </c>
      <c r="K1" s="462"/>
      <c r="L1" s="462"/>
      <c r="M1" s="460"/>
    </row>
    <row r="2" ht="28" customHeight="1">
      <c r="B2" s="457"/>
      <c r="C2" s="90" t="s">
        <v>407</v>
      </c>
      <c r="D2" s="90" t="s">
        <v>408</v>
      </c>
      <c r="E2" s="90" t="s">
        <v>402</v>
      </c>
      <c r="F2" s="91" t="n">
        <v>1</v>
      </c>
      <c r="G2" s="90" t="s">
        <v>409</v>
      </c>
      <c r="H2" s="91" t="n">
        <v>1</v>
      </c>
      <c r="I2" s="90" t="s">
        <v>410</v>
      </c>
      <c r="J2" s="91" t="n">
        <v>1</v>
      </c>
      <c r="K2" s="90" t="s">
        <v>105</v>
      </c>
      <c r="L2" s="90" t="s">
        <v>106</v>
      </c>
      <c r="M2" s="98" t="s">
        <v>107</v>
      </c>
    </row>
    <row r="3" ht="14.002500000000003" customHeight="1">
      <c r="B3" s="92" t="n">
        <v>1</v>
      </c>
      <c r="C3" s="93" t="n">
        <f>'还本付息'!E5</f>
        <v>0</v>
      </c>
      <c r="D3" s="93" t="n">
        <f>'还本付息'!H5</f>
        <v>99</v>
      </c>
      <c r="E3" s="93" t="n">
        <f>C3+D3</f>
        <v>99</v>
      </c>
      <c r="F3" s="93" t="n">
        <f>ROUND('收入成本'!P4,2)</f>
        <v>0</v>
      </c>
      <c r="G3" s="93" t="n">
        <f>ROUND('收入成本'!P4*0.9,2)</f>
        <v>0</v>
      </c>
      <c r="H3" s="93" t="n">
        <f>ROUND('收入成本'!AA4,2)</f>
        <v>0</v>
      </c>
      <c r="I3" s="93" t="n">
        <f>ROUND('收入成本'!AA4*1.1,2)</f>
        <v>0</v>
      </c>
      <c r="J3" s="93" t="n">
        <f>F3-H3</f>
        <v>0</v>
      </c>
      <c r="K3" s="93"/>
      <c r="L3" s="93"/>
      <c r="M3" s="93"/>
    </row>
    <row r="4" ht="14.002500000000003" customHeight="1">
      <c r="B4" s="92" t="n">
        <v>2</v>
      </c>
      <c r="C4" s="93" t="n">
        <f>'还本付息'!E6</f>
        <v>0</v>
      </c>
      <c r="D4" s="93" t="n">
        <f>'还本付息'!H6</f>
        <v>99</v>
      </c>
      <c r="E4" s="93" t="n">
        <f>C4+D4</f>
        <v>99</v>
      </c>
      <c r="F4" s="93" t="n">
        <f>ROUND('收入成本'!P5,2)</f>
        <v>210.79</v>
      </c>
      <c r="G4" s="93" t="n">
        <f>ROUND('收入成本'!P5*0.9,2)</f>
        <v>189.71</v>
      </c>
      <c r="H4" s="93" t="n">
        <f>ROUND('收入成本'!AA5,2)</f>
        <v>47.06</v>
      </c>
      <c r="I4" s="93" t="n">
        <f>ROUND('收入成本'!AA5*1.1,2)</f>
        <v>51.77</v>
      </c>
      <c r="J4" s="93" t="n">
        <f>F4-H4</f>
        <v>163.73</v>
      </c>
      <c r="K4" s="93" t="n">
        <f>G4-H4</f>
        <v>142.65</v>
      </c>
      <c r="L4" s="93" t="n">
        <f>F4-I4</f>
        <v>159.02</v>
      </c>
      <c r="M4" s="93" t="n">
        <f>G4-I4</f>
        <v>137.94</v>
      </c>
    </row>
    <row r="5" ht="14.002500000000003" customHeight="1">
      <c r="B5" s="92" t="n">
        <v>3</v>
      </c>
      <c r="C5" s="93" t="n">
        <f>'还本付息'!E7</f>
        <v>0</v>
      </c>
      <c r="D5" s="93" t="n">
        <f>'还本付息'!H7</f>
        <v>99</v>
      </c>
      <c r="E5" s="93" t="n">
        <f>C5+D5</f>
        <v>99</v>
      </c>
      <c r="F5" s="93" t="n">
        <f>ROUND('收入成本'!P6,2)</f>
        <v>231.87</v>
      </c>
      <c r="G5" s="93" t="n">
        <f>ROUND('收入成本'!P6*0.9,2)</f>
        <v>208.68</v>
      </c>
      <c r="H5" s="93" t="n">
        <f>ROUND('收入成本'!AA6,2)</f>
        <v>48.98</v>
      </c>
      <c r="I5" s="93" t="n">
        <f>ROUND('收入成本'!AA6*1.1,2)</f>
        <v>53.88</v>
      </c>
      <c r="J5" s="93" t="n">
        <f>F5-H5</f>
        <v>182.89</v>
      </c>
      <c r="K5" s="93" t="n">
        <f>G5-H5</f>
        <v>159.7</v>
      </c>
      <c r="L5" s="93" t="n">
        <f>F5-I5</f>
        <v>177.99</v>
      </c>
      <c r="M5" s="93" t="n">
        <f>G5-I5</f>
        <v>154.8</v>
      </c>
    </row>
    <row r="6" ht="14.002500000000003" customHeight="1">
      <c r="B6" s="92" t="n">
        <v>4</v>
      </c>
      <c r="C6" s="93" t="n">
        <f>'还本付息'!E8</f>
        <v>0</v>
      </c>
      <c r="D6" s="93" t="n">
        <f>'还本付息'!H8</f>
        <v>99</v>
      </c>
      <c r="E6" s="93" t="n">
        <f>C6+D6</f>
        <v>99</v>
      </c>
      <c r="F6" s="93" t="n">
        <f>ROUND('收入成本'!P7,2)</f>
        <v>252.95</v>
      </c>
      <c r="G6" s="93" t="n">
        <f>ROUND('收入成本'!P7*0.9,2)</f>
        <v>227.66</v>
      </c>
      <c r="H6" s="93" t="n">
        <f>ROUND('收入成本'!AA7,2)</f>
        <v>50.91</v>
      </c>
      <c r="I6" s="93" t="n">
        <f>ROUND('收入成本'!AA7*1.1,2)</f>
        <v>56</v>
      </c>
      <c r="J6" s="93" t="n">
        <f>F6-H6</f>
        <v>202.04</v>
      </c>
      <c r="K6" s="93" t="n">
        <f>G6-H6</f>
        <v>176.75</v>
      </c>
      <c r="L6" s="93" t="n">
        <f>F6-I6</f>
        <v>196.95</v>
      </c>
      <c r="M6" s="93" t="n">
        <f>G6-I6</f>
        <v>171.66</v>
      </c>
    </row>
    <row r="7" ht="14.002500000000003" customHeight="1">
      <c r="B7" s="92" t="n">
        <v>5</v>
      </c>
      <c r="C7" s="93" t="n">
        <f>'还本付息'!E9</f>
        <v>0</v>
      </c>
      <c r="D7" s="93" t="n">
        <f>'还本付息'!H9</f>
        <v>99</v>
      </c>
      <c r="E7" s="93" t="n">
        <f>C7+D7</f>
        <v>99</v>
      </c>
      <c r="F7" s="93" t="n">
        <f>ROUND('收入成本'!P8,2)</f>
        <v>274.02</v>
      </c>
      <c r="G7" s="93" t="n">
        <f>ROUND('收入成本'!P8*0.9,2)</f>
        <v>246.62</v>
      </c>
      <c r="H7" s="93" t="n">
        <f>ROUND('收入成本'!AA8,2)</f>
        <v>52.83</v>
      </c>
      <c r="I7" s="93" t="n">
        <f>ROUND('收入成本'!AA8*1.1,2)</f>
        <v>58.11</v>
      </c>
      <c r="J7" s="93" t="n">
        <f>F7-H7</f>
        <v>221.19</v>
      </c>
      <c r="K7" s="93" t="n">
        <f>G7-H7</f>
        <v>193.79</v>
      </c>
      <c r="L7" s="93" t="n">
        <f>F7-I7</f>
        <v>215.91</v>
      </c>
      <c r="M7" s="93" t="n">
        <f>G7-I7</f>
        <v>188.51</v>
      </c>
    </row>
    <row r="8" ht="14.002500000000003" customHeight="1">
      <c r="B8" s="92" t="n">
        <v>6</v>
      </c>
      <c r="C8" s="93" t="n">
        <f>'还本付息'!E10</f>
        <v>0</v>
      </c>
      <c r="D8" s="93" t="n">
        <f>'还本付息'!H10</f>
        <v>99</v>
      </c>
      <c r="E8" s="93" t="n">
        <f>C8+D8</f>
        <v>99</v>
      </c>
      <c r="F8" s="93" t="n">
        <f>ROUND('收入成本'!P9,2)</f>
        <v>295.11</v>
      </c>
      <c r="G8" s="93" t="n">
        <f>ROUND('收入成本'!P9*0.9,2)</f>
        <v>265.6</v>
      </c>
      <c r="H8" s="93" t="n">
        <f>ROUND('收入成本'!AA9,2)</f>
        <v>54.76</v>
      </c>
      <c r="I8" s="93" t="n">
        <f>ROUND('收入成本'!AA9*1.1,2)</f>
        <v>60.24</v>
      </c>
      <c r="J8" s="93" t="n">
        <f>F8-H8</f>
        <v>240.35</v>
      </c>
      <c r="K8" s="93" t="n">
        <f>G8-H8</f>
        <v>210.84</v>
      </c>
      <c r="L8" s="93" t="n">
        <f>F8-I8</f>
        <v>234.87</v>
      </c>
      <c r="M8" s="93" t="n">
        <f>G8-I8</f>
        <v>205.36</v>
      </c>
    </row>
    <row r="9" ht="14.002500000000003" customHeight="1">
      <c r="B9" s="92" t="n">
        <v>7</v>
      </c>
      <c r="C9" s="93" t="n">
        <f>'还本付息'!E11</f>
        <v>0</v>
      </c>
      <c r="D9" s="93" t="n">
        <f>'还本付息'!H11</f>
        <v>99</v>
      </c>
      <c r="E9" s="93" t="n">
        <f>C9+D9</f>
        <v>99</v>
      </c>
      <c r="F9" s="93" t="n">
        <f>ROUND('收入成本'!P10,2)</f>
        <v>339.59</v>
      </c>
      <c r="G9" s="93" t="n">
        <f>ROUND('收入成本'!P10*0.9,2)</f>
        <v>305.63</v>
      </c>
      <c r="H9" s="93" t="n">
        <f>ROUND('收入成本'!AA10,2)</f>
        <v>59.32</v>
      </c>
      <c r="I9" s="93" t="n">
        <f>ROUND('收入成本'!AA10*1.1,2)</f>
        <v>65.25</v>
      </c>
      <c r="J9" s="93" t="n">
        <f>F9-H9</f>
        <v>280.27</v>
      </c>
      <c r="K9" s="93" t="n">
        <f>G9-H9</f>
        <v>246.31</v>
      </c>
      <c r="L9" s="93" t="n">
        <f>F9-I9</f>
        <v>274.34</v>
      </c>
      <c r="M9" s="93" t="n">
        <f>G9-I9</f>
        <v>240.38</v>
      </c>
    </row>
    <row r="10" ht="14.002500000000003" customHeight="1">
      <c r="B10" s="92" t="n">
        <v>8</v>
      </c>
      <c r="C10" s="93" t="n">
        <f>'还本付息'!E12</f>
        <v>0</v>
      </c>
      <c r="D10" s="93" t="n">
        <f>'还本付息'!H12</f>
        <v>99</v>
      </c>
      <c r="E10" s="93" t="n">
        <f>C10+D10</f>
        <v>99</v>
      </c>
      <c r="F10" s="93" t="n">
        <f>ROUND('收入成本'!P11,2)</f>
        <v>339.59</v>
      </c>
      <c r="G10" s="93" t="n">
        <f>ROUND('收入成本'!P11*0.9,2)</f>
        <v>305.63</v>
      </c>
      <c r="H10" s="93" t="n">
        <f>ROUND('收入成本'!AA11,2)</f>
        <v>59.32</v>
      </c>
      <c r="I10" s="93" t="n">
        <f>ROUND('收入成本'!AA11*1.1,2)</f>
        <v>65.25</v>
      </c>
      <c r="J10" s="93" t="n">
        <f>F10-H10</f>
        <v>280.27</v>
      </c>
      <c r="K10" s="93" t="n">
        <f>G10-H10</f>
        <v>246.31</v>
      </c>
      <c r="L10" s="93" t="n">
        <f>F10-I10</f>
        <v>274.34</v>
      </c>
      <c r="M10" s="93" t="n">
        <f>G10-I10</f>
        <v>240.38</v>
      </c>
    </row>
    <row r="11" ht="14.002500000000003" customHeight="1">
      <c r="B11" s="92" t="n">
        <v>9</v>
      </c>
      <c r="C11" s="93" t="n">
        <f>'还本付息'!E13</f>
        <v>0</v>
      </c>
      <c r="D11" s="93" t="n">
        <f>'还本付息'!H13</f>
        <v>99</v>
      </c>
      <c r="E11" s="93" t="n">
        <f>C11+D11</f>
        <v>99</v>
      </c>
      <c r="F11" s="93" t="n">
        <f>ROUND('收入成本'!P12,2)</f>
        <v>339.59</v>
      </c>
      <c r="G11" s="93" t="n">
        <f>ROUND('收入成本'!P12*0.9,2)</f>
        <v>305.63</v>
      </c>
      <c r="H11" s="93" t="n">
        <f>ROUND('收入成本'!AA12,2)</f>
        <v>59.32</v>
      </c>
      <c r="I11" s="93" t="n">
        <f>ROUND('收入成本'!AA12*1.1,2)</f>
        <v>65.25</v>
      </c>
      <c r="J11" s="93" t="n">
        <f>F11-H11</f>
        <v>280.27</v>
      </c>
      <c r="K11" s="93" t="n">
        <f>G11-H11</f>
        <v>246.31</v>
      </c>
      <c r="L11" s="93" t="n">
        <f>F11-I11</f>
        <v>274.34</v>
      </c>
      <c r="M11" s="93" t="n">
        <f>G11-I11</f>
        <v>240.38</v>
      </c>
    </row>
    <row r="12" ht="14.002500000000003" customHeight="1">
      <c r="B12" s="92" t="n">
        <v>10</v>
      </c>
      <c r="C12" s="93" t="n">
        <f>'还本付息'!E14</f>
        <v>0</v>
      </c>
      <c r="D12" s="93" t="n">
        <f>'还本付息'!H14</f>
        <v>99</v>
      </c>
      <c r="E12" s="93" t="n">
        <f>C12+D12</f>
        <v>99</v>
      </c>
      <c r="F12" s="93" t="n">
        <f>ROUND('收入成本'!P13,2)</f>
        <v>339.59</v>
      </c>
      <c r="G12" s="93" t="n">
        <f>ROUND('收入成本'!P13*0.9,2)</f>
        <v>305.63</v>
      </c>
      <c r="H12" s="93" t="n">
        <f>ROUND('收入成本'!AA13,2)</f>
        <v>59.32</v>
      </c>
      <c r="I12" s="93" t="n">
        <f>ROUND('收入成本'!AA13*1.1,2)</f>
        <v>65.25</v>
      </c>
      <c r="J12" s="93" t="n">
        <f>F12-H12</f>
        <v>280.27</v>
      </c>
      <c r="K12" s="93" t="n">
        <f>G12-H12</f>
        <v>246.31</v>
      </c>
      <c r="L12" s="93" t="n">
        <f>F12-I12</f>
        <v>274.34</v>
      </c>
      <c r="M12" s="93" t="n">
        <f>G12-I12</f>
        <v>240.38</v>
      </c>
    </row>
    <row r="13" ht="14.002500000000003" customHeight="1">
      <c r="B13" s="92" t="n">
        <v>11</v>
      </c>
      <c r="C13" s="93" t="n">
        <f>'还本付息'!E15</f>
        <v>0</v>
      </c>
      <c r="D13" s="93" t="n">
        <f>'还本付息'!H15</f>
        <v>99</v>
      </c>
      <c r="E13" s="93" t="n">
        <f>C13+D13</f>
        <v>99</v>
      </c>
      <c r="F13" s="93" t="n">
        <f>ROUND('收入成本'!P14,2)</f>
        <v>339.59</v>
      </c>
      <c r="G13" s="93" t="n">
        <f>ROUND('收入成本'!P14*0.9,2)</f>
        <v>305.63</v>
      </c>
      <c r="H13" s="93" t="n">
        <f>ROUND('收入成本'!AA14,2)</f>
        <v>59.32</v>
      </c>
      <c r="I13" s="93" t="n">
        <f>ROUND('收入成本'!AA14*1.1,2)</f>
        <v>65.25</v>
      </c>
      <c r="J13" s="93" t="n">
        <f>F13-H13</f>
        <v>280.27</v>
      </c>
      <c r="K13" s="93" t="n">
        <f>G13-H13</f>
        <v>246.31</v>
      </c>
      <c r="L13" s="93" t="n">
        <f>F13-I13</f>
        <v>274.34</v>
      </c>
      <c r="M13" s="93" t="n">
        <f>G13-I13</f>
        <v>240.38</v>
      </c>
    </row>
    <row r="14" ht="14.002500000000003" customHeight="1">
      <c r="B14" s="92" t="n">
        <v>12</v>
      </c>
      <c r="C14" s="93" t="n">
        <f>'还本付息'!E16</f>
        <v>0</v>
      </c>
      <c r="D14" s="93" t="n">
        <f>'还本付息'!H16</f>
        <v>99</v>
      </c>
      <c r="E14" s="93" t="n">
        <f>C14+D14</f>
        <v>99</v>
      </c>
      <c r="F14" s="93" t="n">
        <f>ROUND('收入成本'!P15,2)</f>
        <v>366.03</v>
      </c>
      <c r="G14" s="93" t="n">
        <f>ROUND('收入成本'!P15*0.9,2)</f>
        <v>329.43</v>
      </c>
      <c r="H14" s="93" t="n">
        <f>ROUND('收入成本'!AA15,2)</f>
        <v>62.21</v>
      </c>
      <c r="I14" s="93" t="n">
        <f>ROUND('收入成本'!AA15*1.1,2)</f>
        <v>68.43</v>
      </c>
      <c r="J14" s="93" t="n">
        <f>F14-H14</f>
        <v>303.82</v>
      </c>
      <c r="K14" s="93" t="n">
        <f>G14-H14</f>
        <v>267.22</v>
      </c>
      <c r="L14" s="93" t="n">
        <f>F14-I14</f>
        <v>297.6</v>
      </c>
      <c r="M14" s="93" t="n">
        <f>G14-I14</f>
        <v>261</v>
      </c>
    </row>
    <row r="15" ht="14.002500000000003" customHeight="1">
      <c r="B15" s="92" t="n">
        <v>13</v>
      </c>
      <c r="C15" s="93" t="n">
        <f>'还本付息'!E17</f>
        <v>0</v>
      </c>
      <c r="D15" s="93" t="n">
        <f>'还本付息'!H17</f>
        <v>99</v>
      </c>
      <c r="E15" s="93" t="n">
        <f>C15+D15</f>
        <v>99</v>
      </c>
      <c r="F15" s="93" t="n">
        <f>ROUND('收入成本'!P16,2)</f>
        <v>366.03</v>
      </c>
      <c r="G15" s="93" t="n">
        <f>ROUND('收入成本'!P16*0.9,2)</f>
        <v>329.43</v>
      </c>
      <c r="H15" s="93" t="n">
        <f>ROUND('收入成本'!AA16,2)</f>
        <v>62.21</v>
      </c>
      <c r="I15" s="93" t="n">
        <f>ROUND('收入成本'!AA16*1.1,2)</f>
        <v>68.43</v>
      </c>
      <c r="J15" s="93" t="n">
        <f>F15-H15</f>
        <v>303.82</v>
      </c>
      <c r="K15" s="93" t="n">
        <f>G15-H15</f>
        <v>267.22</v>
      </c>
      <c r="L15" s="93" t="n">
        <f>F15-I15</f>
        <v>297.6</v>
      </c>
      <c r="M15" s="93" t="n">
        <f>G15-I15</f>
        <v>261</v>
      </c>
    </row>
    <row r="16" ht="14.002500000000003" customHeight="1">
      <c r="B16" s="92" t="n">
        <v>14</v>
      </c>
      <c r="C16" s="93" t="n">
        <f>'还本付息'!E18</f>
        <v>0</v>
      </c>
      <c r="D16" s="93" t="n">
        <f>'还本付息'!H18</f>
        <v>99</v>
      </c>
      <c r="E16" s="93" t="n">
        <f>C16+D16</f>
        <v>99</v>
      </c>
      <c r="F16" s="93" t="n">
        <f>ROUND('收入成本'!P17,2)</f>
        <v>366.03</v>
      </c>
      <c r="G16" s="93" t="n">
        <f>ROUND('收入成本'!P17*0.9,2)</f>
        <v>329.43</v>
      </c>
      <c r="H16" s="93" t="n">
        <f>ROUND('收入成本'!AA17,2)</f>
        <v>344.66</v>
      </c>
      <c r="I16" s="93" t="n">
        <f>ROUND('收入成本'!AA17*1.1,2)</f>
        <v>379.13</v>
      </c>
      <c r="J16" s="93" t="n">
        <f>F16-H16</f>
        <v>21.3699999999999</v>
      </c>
      <c r="K16" s="93" t="n">
        <f>G16-H16</f>
        <v>-15.23</v>
      </c>
      <c r="L16" s="93" t="n">
        <f>F16-I16</f>
        <v>-13.1</v>
      </c>
      <c r="M16" s="93" t="n">
        <f>G16-I16</f>
        <v>-49.7</v>
      </c>
    </row>
    <row r="17" ht="14.002500000000003" customHeight="1">
      <c r="B17" s="92" t="n">
        <v>15</v>
      </c>
      <c r="C17" s="93" t="n">
        <f>'还本付息'!E19</f>
        <v>0</v>
      </c>
      <c r="D17" s="93" t="n">
        <f>'还本付息'!H19</f>
        <v>99</v>
      </c>
      <c r="E17" s="93" t="n">
        <f>C17+D17</f>
        <v>99</v>
      </c>
      <c r="F17" s="93" t="n">
        <f>ROUND('收入成本'!P18,2)</f>
        <v>366.03</v>
      </c>
      <c r="G17" s="93" t="n">
        <f>ROUND('收入成本'!P18*0.9,2)</f>
        <v>329.43</v>
      </c>
      <c r="H17" s="93" t="n">
        <f>ROUND('收入成本'!AA18,2)</f>
        <v>344.66</v>
      </c>
      <c r="I17" s="93" t="n">
        <f>ROUND('收入成本'!AA18*1.1,2)</f>
        <v>379.13</v>
      </c>
      <c r="J17" s="93" t="n">
        <f>F17-H17</f>
        <v>21.3699999999999</v>
      </c>
      <c r="K17" s="93" t="n">
        <f>G17-H17</f>
        <v>-15.23</v>
      </c>
      <c r="L17" s="93" t="n">
        <f>F17-I17</f>
        <v>-13.1</v>
      </c>
      <c r="M17" s="93" t="n">
        <f>G17-I17</f>
        <v>-49.7</v>
      </c>
    </row>
    <row r="18" ht="14.002500000000003" customHeight="1">
      <c r="B18" s="92" t="n">
        <v>16</v>
      </c>
      <c r="C18" s="93" t="n">
        <f>'还本付息'!E20</f>
        <v>0</v>
      </c>
      <c r="D18" s="93" t="n">
        <f>'还本付息'!H20</f>
        <v>99</v>
      </c>
      <c r="E18" s="93" t="n">
        <f>C18+D18</f>
        <v>99</v>
      </c>
      <c r="F18" s="93" t="n">
        <f>ROUND('收入成本'!P19,2)</f>
        <v>366.03</v>
      </c>
      <c r="G18" s="93" t="n">
        <f>ROUND('收入成本'!P19*0.9,2)</f>
        <v>329.43</v>
      </c>
      <c r="H18" s="93" t="n">
        <f>ROUND('收入成本'!AA19,2)</f>
        <v>62.21</v>
      </c>
      <c r="I18" s="93" t="n">
        <f>ROUND('收入成本'!AA19*1.1,2)</f>
        <v>68.43</v>
      </c>
      <c r="J18" s="93" t="n">
        <f>F18-H18</f>
        <v>303.82</v>
      </c>
      <c r="K18" s="93" t="n">
        <f>G18-H18</f>
        <v>267.22</v>
      </c>
      <c r="L18" s="93" t="n">
        <f>F18-I18</f>
        <v>297.6</v>
      </c>
      <c r="M18" s="93" t="n">
        <f>G18-I18</f>
        <v>261</v>
      </c>
    </row>
    <row r="19" ht="14.002500000000003" customHeight="1">
      <c r="B19" s="92" t="n">
        <v>17</v>
      </c>
      <c r="C19" s="93" t="n">
        <f>'还本付息'!E21</f>
        <v>0</v>
      </c>
      <c r="D19" s="93" t="n">
        <f>'还本付息'!H21</f>
        <v>99</v>
      </c>
      <c r="E19" s="93" t="n">
        <f>C19+D19</f>
        <v>99</v>
      </c>
      <c r="F19" s="93" t="n">
        <f>ROUND('收入成本'!P20,2)</f>
        <v>394.12</v>
      </c>
      <c r="G19" s="93" t="n">
        <f>ROUND('收入成本'!P20*0.9,2)</f>
        <v>354.71</v>
      </c>
      <c r="H19" s="93" t="n">
        <f>ROUND('收入成本'!AA20,2)</f>
        <v>65.36</v>
      </c>
      <c r="I19" s="93" t="n">
        <f>ROUND('收入成本'!AA20*1.1,2)</f>
        <v>71.9</v>
      </c>
      <c r="J19" s="93" t="n">
        <f>F19-H19</f>
        <v>328.76</v>
      </c>
      <c r="K19" s="93" t="n">
        <f>G19-H19</f>
        <v>289.35</v>
      </c>
      <c r="L19" s="93" t="n">
        <f>F19-I19</f>
        <v>322.22</v>
      </c>
      <c r="M19" s="93" t="n">
        <f>G19-I19</f>
        <v>282.81</v>
      </c>
    </row>
    <row r="20" ht="14.002500000000003" customHeight="1">
      <c r="B20" s="92" t="n">
        <v>18</v>
      </c>
      <c r="C20" s="93" t="n">
        <f>'还本付息'!E22</f>
        <v>0</v>
      </c>
      <c r="D20" s="93" t="n">
        <f>'还本付息'!H22</f>
        <v>99</v>
      </c>
      <c r="E20" s="93" t="n">
        <f>C20+D20</f>
        <v>99</v>
      </c>
      <c r="F20" s="93" t="n">
        <f>ROUND('收入成本'!P21,2)</f>
        <v>394.12</v>
      </c>
      <c r="G20" s="93" t="n">
        <f>ROUND('收入成本'!P21*0.9,2)</f>
        <v>354.71</v>
      </c>
      <c r="H20" s="93" t="n">
        <f>ROUND('收入成本'!AA21,2)</f>
        <v>65.36</v>
      </c>
      <c r="I20" s="93" t="n">
        <f>ROUND('收入成本'!AA21*1.1,2)</f>
        <v>71.9</v>
      </c>
      <c r="J20" s="93" t="n">
        <f>F20-H20</f>
        <v>328.76</v>
      </c>
      <c r="K20" s="93" t="n">
        <f>G20-H20</f>
        <v>289.35</v>
      </c>
      <c r="L20" s="93" t="n">
        <f>F20-I20</f>
        <v>322.22</v>
      </c>
      <c r="M20" s="93" t="n">
        <f>G20-I20</f>
        <v>282.81</v>
      </c>
    </row>
    <row r="21" ht="14.002500000000003" customHeight="1">
      <c r="B21" s="92" t="n">
        <v>19</v>
      </c>
      <c r="C21" s="93" t="n">
        <f>'还本付息'!E23</f>
        <v>0</v>
      </c>
      <c r="D21" s="93" t="n">
        <f>'还本付息'!H23</f>
        <v>99</v>
      </c>
      <c r="E21" s="93" t="n">
        <f>C21+D21</f>
        <v>99</v>
      </c>
      <c r="F21" s="93" t="n">
        <f>ROUND('收入成本'!P22,2)</f>
        <v>394.12</v>
      </c>
      <c r="G21" s="93" t="n">
        <f>ROUND('收入成本'!P22*0.9,2)</f>
        <v>354.71</v>
      </c>
      <c r="H21" s="93" t="n">
        <f>ROUND('收入成本'!AA22,2)</f>
        <v>65.36</v>
      </c>
      <c r="I21" s="93" t="n">
        <f>ROUND('收入成本'!AA22*1.1,2)</f>
        <v>71.9</v>
      </c>
      <c r="J21" s="93" t="n">
        <f>F21-H21</f>
        <v>328.76</v>
      </c>
      <c r="K21" s="93" t="n">
        <f>G21-H21</f>
        <v>289.35</v>
      </c>
      <c r="L21" s="93" t="n">
        <f>F21-I21</f>
        <v>322.22</v>
      </c>
      <c r="M21" s="93" t="n">
        <f>G21-I21</f>
        <v>282.81</v>
      </c>
    </row>
    <row r="22" ht="14.002500000000003" customHeight="1">
      <c r="B22" s="92" t="n">
        <v>20</v>
      </c>
      <c r="C22" s="93" t="n">
        <f>'还本付息'!E24</f>
        <v>0</v>
      </c>
      <c r="D22" s="93" t="n">
        <f>'还本付息'!H24</f>
        <v>99</v>
      </c>
      <c r="E22" s="93" t="n">
        <f>C22+D22</f>
        <v>99</v>
      </c>
      <c r="F22" s="93" t="n">
        <f>ROUND('收入成本'!P23,2)</f>
        <v>394.12</v>
      </c>
      <c r="G22" s="93" t="n">
        <f>ROUND('收入成本'!P23*0.9,2)</f>
        <v>354.71</v>
      </c>
      <c r="H22" s="93" t="n">
        <f>ROUND('收入成本'!AA23,2)</f>
        <v>65.36</v>
      </c>
      <c r="I22" s="93" t="n">
        <f>ROUND('收入成本'!AA23*1.1,2)</f>
        <v>71.9</v>
      </c>
      <c r="J22" s="93" t="n">
        <f>F22-H22</f>
        <v>328.76</v>
      </c>
      <c r="K22" s="93" t="n">
        <f>G22-H22</f>
        <v>289.35</v>
      </c>
      <c r="L22" s="93" t="n">
        <f>F22-I22</f>
        <v>322.22</v>
      </c>
      <c r="M22" s="93" t="n">
        <f>G22-I22</f>
        <v>282.81</v>
      </c>
    </row>
    <row r="23" ht="14.002500000000003" customHeight="1">
      <c r="B23" s="92" t="n">
        <v>21</v>
      </c>
      <c r="C23" s="93" t="n">
        <f>'还本付息'!E25</f>
        <v>0</v>
      </c>
      <c r="D23" s="93" t="n">
        <f>'还本付息'!H25</f>
        <v>99</v>
      </c>
      <c r="E23" s="93" t="n">
        <f>C23+D23</f>
        <v>99</v>
      </c>
      <c r="F23" s="93" t="n">
        <f>ROUND('收入成本'!P24,2)</f>
        <v>394.12</v>
      </c>
      <c r="G23" s="93" t="n">
        <f>ROUND('收入成本'!P24*0.9,2)</f>
        <v>354.71</v>
      </c>
      <c r="H23" s="93" t="n">
        <f>ROUND('收入成本'!AA24,2)</f>
        <v>65.36</v>
      </c>
      <c r="I23" s="93" t="n">
        <f>ROUND('收入成本'!AA24*1.1,2)</f>
        <v>71.9</v>
      </c>
      <c r="J23" s="93" t="n">
        <f>F23-H23</f>
        <v>328.76</v>
      </c>
      <c r="K23" s="93" t="n">
        <f>G23-H23</f>
        <v>289.35</v>
      </c>
      <c r="L23" s="93" t="n">
        <f>F23-I23</f>
        <v>322.22</v>
      </c>
      <c r="M23" s="93" t="n">
        <f>G23-I23</f>
        <v>282.81</v>
      </c>
    </row>
    <row r="24" ht="14.002500000000003" customHeight="1">
      <c r="B24" s="92" t="n">
        <v>22</v>
      </c>
      <c r="C24" s="93" t="n">
        <f>'还本付息'!E26</f>
        <v>0</v>
      </c>
      <c r="D24" s="93" t="n">
        <f>'还本付息'!H26</f>
        <v>99</v>
      </c>
      <c r="E24" s="93" t="n">
        <f>C24+D24</f>
        <v>99</v>
      </c>
      <c r="F24" s="93" t="n">
        <f>ROUND('收入成本'!P25,2)</f>
        <v>425.24</v>
      </c>
      <c r="G24" s="93" t="n">
        <f>ROUND('收入成本'!P25*0.9,2)</f>
        <v>382.72</v>
      </c>
      <c r="H24" s="93" t="n">
        <f>ROUND('收入成本'!AA25,2)</f>
        <v>68.8</v>
      </c>
      <c r="I24" s="93" t="n">
        <f>ROUND('收入成本'!AA25*1.1,2)</f>
        <v>75.68</v>
      </c>
      <c r="J24" s="93" t="n">
        <f>F24-H24</f>
        <v>356.44</v>
      </c>
      <c r="K24" s="93" t="n">
        <f>G24-H24</f>
        <v>313.92</v>
      </c>
      <c r="L24" s="93" t="n">
        <f>F24-I24</f>
        <v>349.56</v>
      </c>
      <c r="M24" s="93" t="n">
        <f>G24-I24</f>
        <v>307.04</v>
      </c>
    </row>
    <row r="25" ht="14.002500000000003" customHeight="1">
      <c r="B25" s="92" t="n">
        <v>23</v>
      </c>
      <c r="C25" s="93" t="n">
        <f>'还本付息'!E27</f>
        <v>0</v>
      </c>
      <c r="D25" s="93" t="n">
        <f>'还本付息'!H27</f>
        <v>99</v>
      </c>
      <c r="E25" s="93" t="n">
        <f>C25+D25</f>
        <v>99</v>
      </c>
      <c r="F25" s="93" t="n">
        <f>ROUND('收入成本'!P26,2)</f>
        <v>425.24</v>
      </c>
      <c r="G25" s="93" t="n">
        <f>ROUND('收入成本'!P26*0.9,2)</f>
        <v>382.72</v>
      </c>
      <c r="H25" s="93" t="n">
        <f>ROUND('收入成本'!AA26,2)</f>
        <v>68.8</v>
      </c>
      <c r="I25" s="93" t="n">
        <f>ROUND('收入成本'!AA26*1.1,2)</f>
        <v>75.68</v>
      </c>
      <c r="J25" s="93" t="n">
        <f>F25-H25</f>
        <v>356.44</v>
      </c>
      <c r="K25" s="93" t="n">
        <f>G25-H25</f>
        <v>313.92</v>
      </c>
      <c r="L25" s="93" t="n">
        <f>F25-I25</f>
        <v>349.56</v>
      </c>
      <c r="M25" s="93" t="n">
        <f>G25-I25</f>
        <v>307.04</v>
      </c>
    </row>
    <row r="26" ht="14.002500000000003" customHeight="1">
      <c r="B26" s="92" t="n">
        <v>24</v>
      </c>
      <c r="C26" s="93" t="n">
        <f>'还本付息'!E28</f>
        <v>0</v>
      </c>
      <c r="D26" s="93" t="n">
        <f>'还本付息'!H28</f>
        <v>99</v>
      </c>
      <c r="E26" s="93" t="n">
        <f>C26+D26</f>
        <v>99</v>
      </c>
      <c r="F26" s="93" t="n">
        <f>ROUND('收入成本'!P27,2)</f>
        <v>425.24</v>
      </c>
      <c r="G26" s="93" t="n">
        <f>ROUND('收入成本'!P27*0.9,2)</f>
        <v>382.72</v>
      </c>
      <c r="H26" s="93" t="n">
        <f>ROUND('收入成本'!AA27,2)</f>
        <v>79.37</v>
      </c>
      <c r="I26" s="93" t="n">
        <f>ROUND('收入成本'!AA27*1.1,2)</f>
        <v>87.31</v>
      </c>
      <c r="J26" s="93" t="n">
        <f>F26-H26</f>
        <v>345.87</v>
      </c>
      <c r="K26" s="93" t="n">
        <f>G26-H26</f>
        <v>303.35</v>
      </c>
      <c r="L26" s="93" t="n">
        <f>F26-I26</f>
        <v>337.93</v>
      </c>
      <c r="M26" s="93" t="n">
        <f>G26-I26</f>
        <v>295.41</v>
      </c>
    </row>
    <row r="27" ht="14.002500000000003" customHeight="1">
      <c r="B27" s="92" t="n">
        <v>25</v>
      </c>
      <c r="C27" s="93" t="n">
        <f>'还本付息'!E29</f>
        <v>0</v>
      </c>
      <c r="D27" s="93" t="n">
        <f>'还本付息'!H29</f>
        <v>99</v>
      </c>
      <c r="E27" s="93" t="n">
        <f>C27+D27</f>
        <v>99</v>
      </c>
      <c r="F27" s="93" t="n">
        <f>ROUND('收入成本'!P28,2)</f>
        <v>425.24</v>
      </c>
      <c r="G27" s="93" t="n">
        <f>ROUND('收入成本'!P28*0.9,2)</f>
        <v>382.72</v>
      </c>
      <c r="H27" s="93" t="n">
        <f>ROUND('收入成本'!AA28,2)</f>
        <v>94.59</v>
      </c>
      <c r="I27" s="93" t="n">
        <f>ROUND('收入成本'!AA28*1.1,2)</f>
        <v>104.05</v>
      </c>
      <c r="J27" s="93" t="n">
        <f>F27-H27</f>
        <v>330.65</v>
      </c>
      <c r="K27" s="93" t="n">
        <f>G27-H27</f>
        <v>288.13</v>
      </c>
      <c r="L27" s="93" t="n">
        <f>F27-I27</f>
        <v>321.19</v>
      </c>
      <c r="M27" s="93" t="n">
        <f>G27-I27</f>
        <v>278.67</v>
      </c>
    </row>
    <row r="28" ht="14.002500000000003" customHeight="1">
      <c r="B28" s="92" t="n">
        <v>26</v>
      </c>
      <c r="C28" s="93" t="n">
        <f>'还本付息'!E30</f>
        <v>0</v>
      </c>
      <c r="D28" s="93" t="n">
        <f>'还本付息'!H30</f>
        <v>99</v>
      </c>
      <c r="E28" s="93" t="n">
        <f>C28+D28</f>
        <v>99</v>
      </c>
      <c r="F28" s="93" t="n">
        <f>ROUND('收入成本'!P29,2)</f>
        <v>425.24</v>
      </c>
      <c r="G28" s="93" t="n">
        <f>ROUND('收入成本'!P29*0.9,2)</f>
        <v>382.72</v>
      </c>
      <c r="H28" s="93" t="n">
        <f>ROUND('收入成本'!AA29,2)</f>
        <v>96.81</v>
      </c>
      <c r="I28" s="93" t="n">
        <f>ROUND('收入成本'!AA29*1.1,2)</f>
        <v>106.49</v>
      </c>
      <c r="J28" s="93" t="n">
        <f>F28-H28</f>
        <v>328.43</v>
      </c>
      <c r="K28" s="93" t="n">
        <f>G28-H28</f>
        <v>285.91</v>
      </c>
      <c r="L28" s="93" t="n">
        <f>F28-I28</f>
        <v>318.75</v>
      </c>
      <c r="M28" s="93" t="n">
        <f>G28-I28</f>
        <v>276.23</v>
      </c>
    </row>
    <row r="29" ht="14.002500000000003" customHeight="1">
      <c r="B29" s="92" t="n">
        <v>27</v>
      </c>
      <c r="C29" s="93" t="n">
        <f>'还本付息'!E31</f>
        <v>0</v>
      </c>
      <c r="D29" s="93" t="n">
        <f>'还本付息'!H31</f>
        <v>99</v>
      </c>
      <c r="E29" s="93" t="n">
        <f>C29+D29</f>
        <v>99</v>
      </c>
      <c r="F29" s="93" t="n">
        <f>ROUND('收入成本'!P30,2)</f>
        <v>459.65</v>
      </c>
      <c r="G29" s="93" t="n">
        <f>ROUND('收入成本'!P30*0.9,2)</f>
        <v>413.69</v>
      </c>
      <c r="H29" s="93" t="n">
        <f>ROUND('收入成本'!AA30,2)</f>
        <v>100.57</v>
      </c>
      <c r="I29" s="93" t="n">
        <f>ROUND('收入成本'!AA30*1.1,2)</f>
        <v>110.63</v>
      </c>
      <c r="J29" s="93" t="n">
        <f>F29-H29</f>
        <v>359.08</v>
      </c>
      <c r="K29" s="93" t="n">
        <f>G29-H29</f>
        <v>313.12</v>
      </c>
      <c r="L29" s="93" t="n">
        <f>F29-I29</f>
        <v>349.02</v>
      </c>
      <c r="M29" s="93" t="n">
        <f>G29-I29</f>
        <v>303.06</v>
      </c>
    </row>
    <row r="30" ht="14.002500000000003" customHeight="1">
      <c r="B30" s="92" t="n">
        <v>28</v>
      </c>
      <c r="C30" s="93" t="n">
        <f>'还本付息'!E32</f>
        <v>0</v>
      </c>
      <c r="D30" s="93" t="n">
        <f>'还本付息'!H32</f>
        <v>99</v>
      </c>
      <c r="E30" s="93" t="n">
        <f>C30+D30</f>
        <v>99</v>
      </c>
      <c r="F30" s="93" t="n">
        <f>ROUND('收入成本'!P31,2)</f>
        <v>459.65</v>
      </c>
      <c r="G30" s="93" t="n">
        <f>ROUND('收入成本'!P31*0.9,2)</f>
        <v>413.69</v>
      </c>
      <c r="H30" s="93" t="n">
        <f>ROUND('收入成本'!AA31,2)</f>
        <v>100.57</v>
      </c>
      <c r="I30" s="93" t="n">
        <f>ROUND('收入成本'!AA31*1.1,2)</f>
        <v>110.63</v>
      </c>
      <c r="J30" s="93" t="n">
        <f>F30-H30</f>
        <v>359.08</v>
      </c>
      <c r="K30" s="93" t="n">
        <f>G30-H30</f>
        <v>313.12</v>
      </c>
      <c r="L30" s="93" t="n">
        <f>F30-I30</f>
        <v>349.02</v>
      </c>
      <c r="M30" s="93" t="n">
        <f>G30-I30</f>
        <v>303.06</v>
      </c>
    </row>
    <row r="31" ht="14.002500000000003" customHeight="1">
      <c r="B31" s="92" t="n">
        <v>29</v>
      </c>
      <c r="C31" s="93" t="n">
        <f>'还本付息'!E33</f>
        <v>0</v>
      </c>
      <c r="D31" s="93" t="n">
        <f>'还本付息'!H33</f>
        <v>99</v>
      </c>
      <c r="E31" s="93" t="n">
        <f>C31+D31</f>
        <v>99</v>
      </c>
      <c r="F31" s="93" t="n">
        <f>ROUND('收入成本'!P32,2)</f>
        <v>459.65</v>
      </c>
      <c r="G31" s="93" t="n">
        <f>ROUND('收入成本'!P32*0.9,2)</f>
        <v>413.69</v>
      </c>
      <c r="H31" s="93" t="n">
        <f>ROUND('收入成本'!AA32,2)</f>
        <v>100.57</v>
      </c>
      <c r="I31" s="93" t="n">
        <f>ROUND('收入成本'!AA32*1.1,2)</f>
        <v>110.63</v>
      </c>
      <c r="J31" s="93" t="n">
        <f>F31-H31</f>
        <v>359.08</v>
      </c>
      <c r="K31" s="93" t="n">
        <f>G31-H31</f>
        <v>313.12</v>
      </c>
      <c r="L31" s="93" t="n">
        <f>F31-I31</f>
        <v>349.02</v>
      </c>
      <c r="M31" s="93" t="n">
        <f>G31-I31</f>
        <v>303.06</v>
      </c>
    </row>
    <row r="32" ht="14.002500000000003" customHeight="1">
      <c r="B32" s="92" t="n">
        <v>30</v>
      </c>
      <c r="C32" s="93" t="n">
        <f>'还本付息'!E34</f>
        <v>2200</v>
      </c>
      <c r="D32" s="93" t="n">
        <f>'还本付息'!H34</f>
        <v>99</v>
      </c>
      <c r="E32" s="93" t="n">
        <f>C32+D32</f>
        <v>2299</v>
      </c>
      <c r="F32" s="93" t="n">
        <f>ROUND('收入成本'!P33,2)</f>
        <v>459.65</v>
      </c>
      <c r="G32" s="93" t="n">
        <f>ROUND('收入成本'!P33*0.9,2)</f>
        <v>413.69</v>
      </c>
      <c r="H32" s="93" t="n">
        <f>ROUND('收入成本'!AA33,2)</f>
        <v>72.56</v>
      </c>
      <c r="I32" s="93" t="n">
        <f>ROUND('收入成本'!AA33*1.1,2)</f>
        <v>79.82</v>
      </c>
      <c r="J32" s="93" t="n">
        <f>F32-H32</f>
        <v>387.09</v>
      </c>
      <c r="K32" s="93" t="n">
        <f>G32-H32</f>
        <v>341.13</v>
      </c>
      <c r="L32" s="93" t="n">
        <f>F32-I32</f>
        <v>379.83</v>
      </c>
      <c r="M32" s="93" t="n">
        <f>G32-I32</f>
        <v>333.87</v>
      </c>
    </row>
    <row r="33" ht="14.002500000000003" customHeight="1" hidden="1">
      <c r="B33" s="92" t="n">
        <v>31</v>
      </c>
      <c r="C33" s="93"/>
      <c r="D33" s="93"/>
      <c r="E33" s="93"/>
      <c r="F33" s="93"/>
      <c r="G33" s="93"/>
      <c r="H33" s="93"/>
      <c r="I33" s="93"/>
      <c r="J33" s="93"/>
      <c r="K33" s="93"/>
      <c r="L33" s="93"/>
      <c r="M33" s="93"/>
    </row>
    <row r="34" ht="14.002500000000003" customHeight="1" hidden="1">
      <c r="B34" s="92" t="n">
        <v>32</v>
      </c>
      <c r="C34" s="93" t="n">
        <f>'还本付息'!E36</f>
        <v>0</v>
      </c>
      <c r="D34" s="93" t="n">
        <f>'还本付息'!H36</f>
        <v>0</v>
      </c>
      <c r="E34" s="93" t="n">
        <f>C34+D34</f>
        <v>0</v>
      </c>
    </row>
    <row r="35" ht="14.002500000000003" customHeight="1" hidden="1">
      <c r="B35" s="92" t="n">
        <v>33</v>
      </c>
      <c r="C35" s="93" t="n">
        <f>'还本付息'!E37</f>
        <v>0</v>
      </c>
      <c r="D35" s="93" t="n">
        <f>'还本付息'!H37</f>
        <v>0</v>
      </c>
      <c r="E35" s="93" t="n">
        <f>C35+D35</f>
        <v>0</v>
      </c>
      <c r="F35" s="93" t="n">
        <f>ROUND('收入成本'!P34,2)</f>
        <v>0</v>
      </c>
      <c r="G35" s="93" t="n">
        <f>ROUND('收入成本'!P34*0.9,2)</f>
        <v>0</v>
      </c>
      <c r="H35" s="93" t="n">
        <f>ROUND('收入成本'!AA34,2)</f>
        <v>0</v>
      </c>
      <c r="I35" s="93" t="n">
        <f>ROUND('收入成本'!AA34*1.1,2)</f>
        <v>0</v>
      </c>
      <c r="J35" s="93" t="n">
        <f>F35-H35</f>
        <v>0</v>
      </c>
      <c r="K35" s="93" t="n">
        <f>G35-H35</f>
        <v>0</v>
      </c>
      <c r="L35" s="93" t="n">
        <f>F35-I35</f>
        <v>0</v>
      </c>
      <c r="M35" s="93" t="n">
        <f>G35-I35</f>
        <v>0</v>
      </c>
    </row>
    <row r="36" ht="14.002500000000003" customHeight="1">
      <c r="B36" s="90" t="s">
        <v>195</v>
      </c>
      <c r="C36" s="94" t="n">
        <v>2200</v>
      </c>
      <c r="D36" s="95" t="n">
        <f>SUM(D3:D35)</f>
        <v>2970</v>
      </c>
      <c r="E36" s="95" t="n">
        <f>SUM(E3:E35)</f>
        <v>5170</v>
      </c>
      <c r="F36" s="95" t="n">
        <f>SUM(F3:F35)</f>
        <v>10728.24</v>
      </c>
      <c r="G36" s="95" t="n">
        <f>SUM(G3:G35)</f>
        <v>9655.48</v>
      </c>
      <c r="H36" s="95" t="n">
        <f>SUM(H3:H35)</f>
        <v>2536.53</v>
      </c>
      <c r="I36" s="95" t="n">
        <f>SUM(I3:I35)</f>
        <v>2790.22</v>
      </c>
      <c r="J36" s="95" t="n">
        <f>SUM(J3:J35)</f>
        <v>8191.71</v>
      </c>
      <c r="K36" s="95" t="n">
        <f>SUM(K3:K35)</f>
        <v>7118.95</v>
      </c>
      <c r="L36" s="95" t="n">
        <f>SUM(L3:L35)</f>
        <v>7938.02</v>
      </c>
      <c r="M36" s="95" t="n">
        <f>SUM(M3:M35)</f>
        <v>6865.26</v>
      </c>
    </row>
    <row r="37" ht="14.002500000000003" customHeight="1">
      <c r="B37" s="458" t="s">
        <v>411</v>
      </c>
      <c r="C37" s="462"/>
      <c r="D37" s="462"/>
      <c r="E37" s="462"/>
      <c r="F37" s="462"/>
      <c r="G37" s="462"/>
      <c r="H37" s="460"/>
      <c r="I37" s="96"/>
      <c r="J37" s="90" t="n">
        <f>ROUND(J36/$E$36,2)</f>
        <v>1.58</v>
      </c>
      <c r="K37" s="90" t="n">
        <f>ROUND(K36/$E$36,2)</f>
        <v>1.38</v>
      </c>
      <c r="L37" s="90" t="n">
        <f>ROUND(L36/$E$36,2)</f>
        <v>1.54</v>
      </c>
      <c r="M37" s="90" t="n">
        <f>ROUND(M36/$E$36,2)</f>
        <v>1.33</v>
      </c>
    </row>
    <row r="38" ht="14.002500000000003" customHeight="1">
      <c r="C38" s="97" t="s">
        <v>412</v>
      </c>
    </row>
  </sheetData>
  <mergeCells count="6">
    <mergeCell ref="B37:H37"/>
    <mergeCell ref="B1:B2"/>
    <mergeCell ref="J1:M1"/>
    <mergeCell ref="H1:I1"/>
    <mergeCell ref="C1:E1"/>
    <mergeCell ref="F1:G1"/>
  </mergeCells>
  <phoneticPr fontId="1" type="noConversion"/>
  <conditionalFormatting sqref="K37:M37">
    <cfRule priority="10" type="cellIs" operator="lessThan" dxfId="4">
      <formula>1.01</formula>
    </cfRule>
  </conditionalFormatting>
  <conditionalFormatting sqref="J37">
    <cfRule priority="11" type="cellIs" operator="lessThan" dxfId="2">
      <formula>1.31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002500000000003" customHeight="1"/>
  <cols>
    <col min="1" max="1" width="22.166015625" customWidth="1" style="82"/>
    <col min="2" max="2" width="10.3330078125" customWidth="1" style="82"/>
    <col min="3" max="6" width="8.4990234375" customWidth="1" style="82"/>
    <col min="7" max="30" width="10.3330078125" customWidth="1" style="82"/>
    <col min="31" max="31" width="11.33203125" customWidth="1" style="82"/>
    <col min="32" max="33" width="10.3330078125" hidden="1" customWidth="1" style="82"/>
    <col min="34" max="34" width="8.4990234375" hidden="1" customWidth="1" style="82"/>
    <col min="35" max="35" width="11.33203125" customWidth="1" style="82"/>
    <col min="36" max="40" width="8.8330078125" style="82"/>
  </cols>
  <sheetData>
    <row r="1" ht="14.002500000000003" customHeight="1">
      <c r="A1" s="463" t="s">
        <v>413</v>
      </c>
      <c r="B1" s="464"/>
      <c r="C1" s="464"/>
      <c r="D1" s="464"/>
      <c r="E1" s="464"/>
      <c r="F1" s="464"/>
      <c r="G1" s="464"/>
      <c r="H1" s="464"/>
      <c r="I1" s="464"/>
      <c r="J1" s="464"/>
      <c r="K1" s="464"/>
      <c r="L1" s="464"/>
      <c r="M1" s="464"/>
      <c r="N1" s="464"/>
      <c r="O1" s="464"/>
      <c r="P1" s="464"/>
      <c r="Q1" s="464"/>
      <c r="R1" s="464"/>
      <c r="S1" s="464"/>
      <c r="T1" s="464"/>
      <c r="U1" s="464"/>
      <c r="V1" s="464"/>
      <c r="W1" s="464"/>
      <c r="X1" s="464"/>
      <c r="Y1" s="464"/>
      <c r="Z1" s="464"/>
      <c r="AA1" s="464"/>
      <c r="AB1" s="464"/>
      <c r="AC1" s="464"/>
      <c r="AD1" s="464"/>
      <c r="AE1" s="464"/>
      <c r="AF1" s="464"/>
      <c r="AG1" s="464"/>
      <c r="AH1" s="464"/>
      <c r="AI1" s="465"/>
    </row>
    <row r="2" ht="14.002500000000003" customHeight="1">
      <c r="A2" s="83"/>
      <c r="B2" s="84"/>
      <c r="C2" s="84"/>
      <c r="D2" s="84"/>
      <c r="E2" s="84"/>
      <c r="F2" s="84"/>
      <c r="G2" s="84"/>
      <c r="H2" s="84"/>
      <c r="I2" s="84"/>
      <c r="J2" s="84"/>
      <c r="K2" s="84"/>
      <c r="L2" s="84"/>
      <c r="M2" s="84"/>
      <c r="N2" s="84"/>
      <c r="O2" s="84"/>
      <c r="P2" s="84"/>
      <c r="Q2" s="84"/>
      <c r="R2" s="84"/>
      <c r="S2" s="84"/>
      <c r="T2" s="84"/>
      <c r="U2" s="84"/>
      <c r="V2" s="84"/>
      <c r="W2" s="84"/>
      <c r="X2" s="84"/>
      <c r="Y2" s="84"/>
      <c r="Z2" s="84"/>
      <c r="AA2" s="84"/>
      <c r="AB2" s="84"/>
      <c r="AC2" s="84"/>
      <c r="AD2" s="84"/>
      <c r="AE2" s="84"/>
      <c r="AF2" s="84"/>
      <c r="AG2" s="84"/>
      <c r="AH2" s="84"/>
      <c r="AI2" s="89" t="s">
        <v>183</v>
      </c>
    </row>
    <row r="3" s="81" customFormat="1" ht="14.002500000000003" customHeight="1">
      <c r="A3" s="85" t="s">
        <v>263</v>
      </c>
      <c r="B3" s="86" t="s">
        <v>414</v>
      </c>
      <c r="C3" s="86" t="s">
        <v>415</v>
      </c>
      <c r="D3" s="86" t="s">
        <v>416</v>
      </c>
      <c r="E3" s="86" t="s">
        <v>417</v>
      </c>
      <c r="F3" s="86" t="s">
        <v>418</v>
      </c>
      <c r="G3" s="86" t="s">
        <v>419</v>
      </c>
      <c r="H3" s="86" t="s">
        <v>420</v>
      </c>
      <c r="I3" s="86" t="s">
        <v>421</v>
      </c>
      <c r="J3" s="86" t="s">
        <v>422</v>
      </c>
      <c r="K3" s="86" t="s">
        <v>423</v>
      </c>
      <c r="L3" s="86" t="s">
        <v>424</v>
      </c>
      <c r="M3" s="86" t="s">
        <v>425</v>
      </c>
      <c r="N3" s="86" t="s">
        <v>426</v>
      </c>
      <c r="O3" s="86" t="s">
        <v>427</v>
      </c>
      <c r="P3" s="86" t="s">
        <v>428</v>
      </c>
      <c r="Q3" s="86" t="s">
        <v>429</v>
      </c>
      <c r="R3" s="86" t="s">
        <v>430</v>
      </c>
      <c r="S3" s="86" t="s">
        <v>431</v>
      </c>
      <c r="T3" s="86" t="s">
        <v>432</v>
      </c>
      <c r="U3" s="86" t="s">
        <v>433</v>
      </c>
      <c r="V3" s="86" t="s">
        <v>434</v>
      </c>
      <c r="W3" s="86" t="s">
        <v>435</v>
      </c>
      <c r="X3" s="86" t="s">
        <v>436</v>
      </c>
      <c r="Y3" s="86" t="s">
        <v>437</v>
      </c>
      <c r="Z3" s="86" t="s">
        <v>438</v>
      </c>
      <c r="AA3" s="86" t="s">
        <v>439</v>
      </c>
      <c r="AB3" s="86" t="s">
        <v>440</v>
      </c>
      <c r="AC3" s="86" t="s">
        <v>441</v>
      </c>
      <c r="AD3" s="86" t="s">
        <v>442</v>
      </c>
      <c r="AE3" s="86" t="s">
        <v>443</v>
      </c>
      <c r="AF3" s="86" t="s">
        <v>444</v>
      </c>
      <c r="AG3" s="86" t="s">
        <v>445</v>
      </c>
      <c r="AH3" s="86" t="s">
        <v>446</v>
      </c>
      <c r="AI3" s="86" t="s">
        <v>195</v>
      </c>
    </row>
    <row r="4" s="81" customFormat="1" ht="14.002500000000003" customHeight="1">
      <c r="A4" s="87" t="s">
        <v>447</v>
      </c>
      <c r="B4" s="86" t="n">
        <f>B5+B13</f>
        <v>4509.9</v>
      </c>
      <c r="C4" s="86" t="n">
        <f>C5+C13</f>
        <v>700.89</v>
      </c>
      <c r="D4" s="86" t="n">
        <f>D5+D13</f>
        <v>231.87</v>
      </c>
      <c r="E4" s="86" t="n">
        <f>E5+E13</f>
        <v>252.95</v>
      </c>
      <c r="F4" s="86" t="n">
        <f>F5+F13</f>
        <v>274.02</v>
      </c>
      <c r="G4" s="86" t="n">
        <f>G5+G13</f>
        <v>295.11</v>
      </c>
      <c r="H4" s="86" t="n">
        <f>H5+H13</f>
        <v>339.59</v>
      </c>
      <c r="I4" s="86" t="n">
        <f>I5+I13</f>
        <v>339.59</v>
      </c>
      <c r="J4" s="86" t="n">
        <f>J5+J13</f>
        <v>339.59</v>
      </c>
      <c r="K4" s="86" t="n">
        <f>K5+K13</f>
        <v>339.59</v>
      </c>
      <c r="L4" s="86" t="n">
        <f>L5+L13</f>
        <v>339.59</v>
      </c>
      <c r="M4" s="86" t="n">
        <f>M5+M13</f>
        <v>366.03</v>
      </c>
      <c r="N4" s="86" t="n">
        <f>N5+N13</f>
        <v>366.03</v>
      </c>
      <c r="O4" s="86" t="n">
        <f>O5+O13</f>
        <v>366.03</v>
      </c>
      <c r="P4" s="86" t="n">
        <f>P5+P13</f>
        <v>366.03</v>
      </c>
      <c r="Q4" s="86" t="n">
        <f>Q5+Q13</f>
        <v>366.03</v>
      </c>
      <c r="R4" s="86" t="n">
        <f>R5+R13</f>
        <v>394.12</v>
      </c>
      <c r="S4" s="86" t="n">
        <f>S5+S13</f>
        <v>394.12</v>
      </c>
      <c r="T4" s="86" t="n">
        <f>T5+T13</f>
        <v>394.12</v>
      </c>
      <c r="U4" s="86" t="n">
        <f>U5+U13</f>
        <v>394.12</v>
      </c>
      <c r="V4" s="86" t="n">
        <f>V5+V13</f>
        <v>394.12</v>
      </c>
      <c r="W4" s="86" t="n">
        <f>W5+W13</f>
        <v>425.24</v>
      </c>
      <c r="X4" s="86" t="n">
        <f>X5+X13</f>
        <v>425.24</v>
      </c>
      <c r="Y4" s="86" t="n">
        <f>Y5+Y13</f>
        <v>425.24</v>
      </c>
      <c r="Z4" s="86" t="n">
        <f>Z5+Z13</f>
        <v>425.24</v>
      </c>
      <c r="AA4" s="86" t="n">
        <f>AA5+AA13</f>
        <v>425.24</v>
      </c>
      <c r="AB4" s="86" t="n">
        <f>AB5+AB13</f>
        <v>459.65</v>
      </c>
      <c r="AC4" s="86" t="n">
        <f>AC5+AC13</f>
        <v>459.65</v>
      </c>
      <c r="AD4" s="86" t="n">
        <f>AD5+AD13</f>
        <v>459.65</v>
      </c>
      <c r="AE4" s="86" t="n">
        <f>AE5+AE13</f>
        <v>459.65</v>
      </c>
      <c r="AF4" s="86" t="n">
        <f>AF5+AF13</f>
        <v>0</v>
      </c>
      <c r="AG4" s="86" t="e">
        <f>AG5+AG13</f>
        <v>#N/A</v>
      </c>
      <c r="AH4" s="86" t="e">
        <f>AH5+AH13</f>
        <v>#N/A</v>
      </c>
      <c r="AI4" s="86" t="n">
        <f>SUM(B4:AE4)</f>
        <v>15728.24</v>
      </c>
    </row>
    <row r="5" s="81" customFormat="1" ht="14.002500000000003" customHeight="1">
      <c r="A5" s="87" t="s">
        <v>448</v>
      </c>
      <c r="B5" s="86" t="n">
        <f>SUM(B6:B8)</f>
        <v>0</v>
      </c>
      <c r="C5" s="86" t="n">
        <f>SUM(C6:C8)</f>
        <v>210.79</v>
      </c>
      <c r="D5" s="86" t="n">
        <f>SUM(D6:D12)</f>
        <v>231.87</v>
      </c>
      <c r="E5" s="86" t="n">
        <f>SUM(E6:E12)</f>
        <v>252.95</v>
      </c>
      <c r="F5" s="86" t="n">
        <f>SUM(F6:F12)</f>
        <v>274.02</v>
      </c>
      <c r="G5" s="86" t="n">
        <f>SUM(G6:G12)</f>
        <v>295.11</v>
      </c>
      <c r="H5" s="86" t="n">
        <f>SUM(H6:H12)</f>
        <v>339.59</v>
      </c>
      <c r="I5" s="86" t="n">
        <f>SUM(I6:I12)</f>
        <v>339.59</v>
      </c>
      <c r="J5" s="86" t="n">
        <f>SUM(J6:J12)</f>
        <v>339.59</v>
      </c>
      <c r="K5" s="86" t="n">
        <f>SUM(K6:K12)</f>
        <v>339.59</v>
      </c>
      <c r="L5" s="86" t="n">
        <f>SUM(L6:L12)</f>
        <v>339.59</v>
      </c>
      <c r="M5" s="86" t="n">
        <f>SUM(M6:M12)</f>
        <v>366.03</v>
      </c>
      <c r="N5" s="86" t="n">
        <f>SUM(N6:N12)</f>
        <v>366.03</v>
      </c>
      <c r="O5" s="86" t="n">
        <f>SUM(O6:O12)</f>
        <v>366.03</v>
      </c>
      <c r="P5" s="86" t="n">
        <f>SUM(P6:P12)</f>
        <v>366.03</v>
      </c>
      <c r="Q5" s="86" t="n">
        <f>SUM(Q6:Q12)</f>
        <v>366.03</v>
      </c>
      <c r="R5" s="86" t="n">
        <f>SUM(R6:R12)</f>
        <v>394.12</v>
      </c>
      <c r="S5" s="86" t="n">
        <f>SUM(S6:S12)</f>
        <v>394.12</v>
      </c>
      <c r="T5" s="86" t="n">
        <f>SUM(T6:T12)</f>
        <v>394.12</v>
      </c>
      <c r="U5" s="86" t="n">
        <f>SUM(U6:U12)</f>
        <v>394.12</v>
      </c>
      <c r="V5" s="86" t="n">
        <f>SUM(V6:V12)</f>
        <v>394.12</v>
      </c>
      <c r="W5" s="86" t="n">
        <f>SUM(W6:W12)</f>
        <v>425.24</v>
      </c>
      <c r="X5" s="86" t="n">
        <f>SUM(X6:X12)</f>
        <v>425.24</v>
      </c>
      <c r="Y5" s="86" t="n">
        <f>SUM(Y6:Y12)</f>
        <v>425.24</v>
      </c>
      <c r="Z5" s="86" t="n">
        <f>SUM(Z6:Z12)</f>
        <v>425.24</v>
      </c>
      <c r="AA5" s="86" t="n">
        <f>SUM(AA6:AA12)</f>
        <v>425.24</v>
      </c>
      <c r="AB5" s="86" t="n">
        <f>SUM(AB6:AB12)</f>
        <v>459.65</v>
      </c>
      <c r="AC5" s="86" t="n">
        <f>SUM(AC6:AC12)</f>
        <v>459.65</v>
      </c>
      <c r="AD5" s="86" t="n">
        <f>SUM(AD6:AD12)</f>
        <v>459.65</v>
      </c>
      <c r="AE5" s="86" t="n">
        <f>SUM(AE6:AE12)</f>
        <v>459.65</v>
      </c>
      <c r="AF5" s="86" t="n">
        <f>SUM(AF6:AF12)</f>
        <v>0</v>
      </c>
      <c r="AG5" s="86" t="e">
        <f>SUM(AG6:AG12)</f>
        <v>#N/A</v>
      </c>
      <c r="AH5" s="86" t="e">
        <f>SUM(AH6:AH12)</f>
        <v>#N/A</v>
      </c>
      <c r="AI5" s="86" t="n">
        <f>SUM(B5:AE5)</f>
        <v>10728.24</v>
      </c>
    </row>
    <row r="6" s="81" customFormat="1" ht="14.002500000000003" customHeight="1">
      <c r="A6" s="87" t="s">
        <f>CONCATENATE("其中：",'收入成本'!C1,"收入")</f>
        <v>449</v>
      </c>
      <c r="B6" s="86" t="n">
        <f t="array" ref="B6:AH6">TRANSPOSE('收入成本'!G4:G34)</f>
        <v>0</v>
      </c>
      <c r="C6" s="86" t="n">
        <v>191.63</v>
      </c>
      <c r="D6" s="86" t="n">
        <v>210.79</v>
      </c>
      <c r="E6" s="86" t="n">
        <v>229.95</v>
      </c>
      <c r="F6" s="86" t="n">
        <v>249.11</v>
      </c>
      <c r="G6" s="86" t="n">
        <v>268.28</v>
      </c>
      <c r="H6" s="86" t="n">
        <v>307.97</v>
      </c>
      <c r="I6" s="86" t="n">
        <v>307.97</v>
      </c>
      <c r="J6" s="86" t="n">
        <v>307.97</v>
      </c>
      <c r="K6" s="86" t="n">
        <v>307.97</v>
      </c>
      <c r="L6" s="86" t="n">
        <v>307.97</v>
      </c>
      <c r="M6" s="86" t="n">
        <v>330.96</v>
      </c>
      <c r="N6" s="86" t="n">
        <v>330.96</v>
      </c>
      <c r="O6" s="86" t="n">
        <v>330.96</v>
      </c>
      <c r="P6" s="86" t="n">
        <v>330.96</v>
      </c>
      <c r="Q6" s="86" t="n">
        <v>330.96</v>
      </c>
      <c r="R6" s="86" t="n">
        <v>355.6</v>
      </c>
      <c r="S6" s="86" t="n">
        <v>355.6</v>
      </c>
      <c r="T6" s="86" t="n">
        <v>355.6</v>
      </c>
      <c r="U6" s="86" t="n">
        <v>355.6</v>
      </c>
      <c r="V6" s="86" t="n">
        <v>355.6</v>
      </c>
      <c r="W6" s="86" t="n">
        <v>382.7</v>
      </c>
      <c r="X6" s="86" t="n">
        <v>382.7</v>
      </c>
      <c r="Y6" s="86" t="n">
        <v>382.7</v>
      </c>
      <c r="Z6" s="86" t="n">
        <v>382.7</v>
      </c>
      <c r="AA6" s="86" t="n">
        <v>382.7</v>
      </c>
      <c r="AB6" s="86" t="n">
        <v>413.09</v>
      </c>
      <c r="AC6" s="86" t="n">
        <v>413.09</v>
      </c>
      <c r="AD6" s="86" t="n">
        <v>413.09</v>
      </c>
      <c r="AE6" s="86" t="n">
        <v>413.09</v>
      </c>
      <c r="AF6" s="86" t="n">
        <v>0</v>
      </c>
      <c r="AG6" s="86" t="e">
        <v>#N/A</v>
      </c>
      <c r="AH6" s="86" t="e">
        <v>#N/A</v>
      </c>
      <c r="AI6" s="86" t="n">
        <f>SUM(B6:AE6)</f>
        <v>9688.27</v>
      </c>
    </row>
    <row r="7" s="81" customFormat="1" ht="14.002500000000003" customHeight="1">
      <c r="A7" s="87" t="s">
        <f>CONCATENATE('收入成本'!H1,"收入")</f>
        <v>450</v>
      </c>
      <c r="B7" s="86" t="n">
        <f t="array" ref="B7:AH7">TRANSPOSE('收入成本'!K4:K34)</f>
        <v>0</v>
      </c>
      <c r="C7" s="86" t="n">
        <v>19.16</v>
      </c>
      <c r="D7" s="86" t="n">
        <v>21.08</v>
      </c>
      <c r="E7" s="86" t="n">
        <v>23</v>
      </c>
      <c r="F7" s="86" t="n">
        <v>24.91</v>
      </c>
      <c r="G7" s="86" t="n">
        <v>26.83</v>
      </c>
      <c r="H7" s="86" t="n">
        <v>31.62</v>
      </c>
      <c r="I7" s="86" t="n">
        <v>31.62</v>
      </c>
      <c r="J7" s="86" t="n">
        <v>31.62</v>
      </c>
      <c r="K7" s="86" t="n">
        <v>31.62</v>
      </c>
      <c r="L7" s="86" t="n">
        <v>31.62</v>
      </c>
      <c r="M7" s="86" t="n">
        <v>35.07</v>
      </c>
      <c r="N7" s="86" t="n">
        <v>35.07</v>
      </c>
      <c r="O7" s="86" t="n">
        <v>35.07</v>
      </c>
      <c r="P7" s="86" t="n">
        <v>35.07</v>
      </c>
      <c r="Q7" s="86" t="n">
        <v>35.07</v>
      </c>
      <c r="R7" s="86" t="n">
        <v>38.52</v>
      </c>
      <c r="S7" s="86" t="n">
        <v>38.52</v>
      </c>
      <c r="T7" s="86" t="n">
        <v>38.52</v>
      </c>
      <c r="U7" s="86" t="n">
        <v>38.52</v>
      </c>
      <c r="V7" s="86" t="n">
        <v>38.52</v>
      </c>
      <c r="W7" s="86" t="n">
        <v>42.54</v>
      </c>
      <c r="X7" s="86" t="n">
        <v>42.54</v>
      </c>
      <c r="Y7" s="86" t="n">
        <v>42.54</v>
      </c>
      <c r="Z7" s="86" t="n">
        <v>42.54</v>
      </c>
      <c r="AA7" s="86" t="n">
        <v>42.54</v>
      </c>
      <c r="AB7" s="86" t="n">
        <v>46.56</v>
      </c>
      <c r="AC7" s="86" t="n">
        <v>46.56</v>
      </c>
      <c r="AD7" s="86" t="n">
        <v>46.56</v>
      </c>
      <c r="AE7" s="86" t="n">
        <v>46.56</v>
      </c>
      <c r="AF7" s="86" t="n">
        <v>0</v>
      </c>
      <c r="AG7" s="86" t="e">
        <v>#N/A</v>
      </c>
      <c r="AH7" s="86" t="e">
        <v>#N/A</v>
      </c>
      <c r="AI7" s="86" t="n">
        <f>SUM(B7:AE7)</f>
        <v>1039.97</v>
      </c>
    </row>
    <row r="8" s="81" customFormat="1" ht="14.002500000000003" customHeight="1" hidden="1">
      <c r="A8" s="87" t="s">
        <f>CONCATENATE('收入成本'!L1)</f>
        <v>340</v>
      </c>
      <c r="B8" s="86" t="n">
        <f t="array" ref="B8:AH8">TRANSPOSE('收入成本'!O4:O34)</f>
        <v>0</v>
      </c>
      <c r="C8" s="86" t="n">
        <v>0</v>
      </c>
      <c r="D8" s="86" t="n">
        <v>0</v>
      </c>
      <c r="E8" s="86" t="n">
        <v>0</v>
      </c>
      <c r="F8" s="86" t="n">
        <v>0</v>
      </c>
      <c r="G8" s="86" t="n">
        <v>0</v>
      </c>
      <c r="H8" s="86" t="n">
        <v>0</v>
      </c>
      <c r="I8" s="86" t="n">
        <v>0</v>
      </c>
      <c r="J8" s="86" t="n">
        <v>0</v>
      </c>
      <c r="K8" s="86" t="n">
        <v>0</v>
      </c>
      <c r="L8" s="86" t="n">
        <v>0</v>
      </c>
      <c r="M8" s="86" t="n">
        <v>0</v>
      </c>
      <c r="N8" s="86" t="n">
        <v>0</v>
      </c>
      <c r="O8" s="86" t="n">
        <v>0</v>
      </c>
      <c r="P8" s="86" t="n">
        <v>0</v>
      </c>
      <c r="Q8" s="86" t="n">
        <v>0</v>
      </c>
      <c r="R8" s="86" t="n">
        <v>0</v>
      </c>
      <c r="S8" s="86" t="n">
        <v>0</v>
      </c>
      <c r="T8" s="86" t="n">
        <v>0</v>
      </c>
      <c r="U8" s="86" t="n">
        <v>0</v>
      </c>
      <c r="V8" s="86" t="n">
        <v>0</v>
      </c>
      <c r="W8" s="86" t="n">
        <v>0</v>
      </c>
      <c r="X8" s="86" t="n">
        <v>0</v>
      </c>
      <c r="Y8" s="86" t="n">
        <v>0</v>
      </c>
      <c r="Z8" s="86" t="n">
        <v>0</v>
      </c>
      <c r="AA8" s="86" t="n">
        <v>0</v>
      </c>
      <c r="AB8" s="86" t="n">
        <v>0</v>
      </c>
      <c r="AC8" s="86" t="n">
        <v>0</v>
      </c>
      <c r="AD8" s="86" t="n">
        <v>0</v>
      </c>
      <c r="AE8" s="86" t="n">
        <v>0</v>
      </c>
      <c r="AF8" s="86" t="n">
        <v>0</v>
      </c>
      <c r="AG8" s="86" t="e">
        <v>#N/A</v>
      </c>
      <c r="AH8" s="86" t="e">
        <v>#N/A</v>
      </c>
      <c r="AI8" s="86" t="n">
        <f>SUM(B8:AE8)</f>
        <v>0</v>
      </c>
    </row>
    <row r="9" s="81" customFormat="1" ht="14.002500000000003" customHeight="1" hidden="1">
      <c r="A9" s="87"/>
      <c r="B9" s="86"/>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t="n">
        <f>SUM(B9:AE9)</f>
        <v>0</v>
      </c>
    </row>
    <row r="10" s="81" customFormat="1" ht="14.002500000000003" customHeight="1" hidden="1">
      <c r="A10" s="87"/>
      <c r="B10" s="86"/>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t="n">
        <f>SUM(B10:AE10)</f>
        <v>0</v>
      </c>
    </row>
    <row r="11" s="81" customFormat="1" ht="14.002500000000003" customHeight="1" hidden="1">
      <c r="A11" s="87"/>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t="n">
        <f>SUM(B11:AE11)</f>
        <v>0</v>
      </c>
    </row>
    <row r="12" s="81" customFormat="1" ht="14.002500000000003" customHeight="1" hidden="1">
      <c r="A12" s="87"/>
      <c r="B12" s="86"/>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t="n">
        <f>SUM(B12:AE12)</f>
        <v>0</v>
      </c>
    </row>
    <row r="13" s="81" customFormat="1" ht="14.002500000000003" customHeight="1">
      <c r="A13" s="87" t="s">
        <v>451</v>
      </c>
      <c r="B13" s="86" t="n">
        <f>SUM(B14:B15)</f>
        <v>4509.9</v>
      </c>
      <c r="C13" s="86" t="n">
        <f>SUM(C14:C15)</f>
        <v>490.1</v>
      </c>
      <c r="D13" s="86" t="n">
        <f>SUM(D14:D15)</f>
        <v>0</v>
      </c>
      <c r="E13" s="86" t="n">
        <f>SUM(E14:E15)</f>
        <v>0</v>
      </c>
      <c r="F13" s="86" t="n">
        <f>SUM(F14:F15)</f>
        <v>0</v>
      </c>
      <c r="G13" s="86" t="n">
        <f>SUM(G14:G15)</f>
        <v>0</v>
      </c>
      <c r="H13" s="86" t="n">
        <f>SUM(H14:H15)</f>
        <v>0</v>
      </c>
      <c r="I13" s="86" t="n">
        <f>SUM(I14:I15)</f>
        <v>0</v>
      </c>
      <c r="J13" s="86" t="n">
        <f>SUM(J14:J15)</f>
        <v>0</v>
      </c>
      <c r="K13" s="86" t="n">
        <f>SUM(K14:K15)</f>
        <v>0</v>
      </c>
      <c r="L13" s="86" t="n">
        <f>SUM(L14:L15)</f>
        <v>0</v>
      </c>
      <c r="M13" s="86" t="n">
        <f>SUM(M14:M15)</f>
        <v>0</v>
      </c>
      <c r="N13" s="86" t="n">
        <f>SUM(N14:N15)</f>
        <v>0</v>
      </c>
      <c r="O13" s="86" t="n">
        <f>SUM(O14:O15)</f>
        <v>0</v>
      </c>
      <c r="P13" s="86" t="n">
        <f>SUM(P14:P15)</f>
        <v>0</v>
      </c>
      <c r="Q13" s="86" t="n">
        <f>SUM(Q14:Q15)</f>
        <v>0</v>
      </c>
      <c r="R13" s="86" t="n">
        <f>SUM(R14:R15)</f>
        <v>0</v>
      </c>
      <c r="S13" s="86" t="n">
        <f>SUM(S14:S15)</f>
        <v>0</v>
      </c>
      <c r="T13" s="86" t="n">
        <f>SUM(T14:T15)</f>
        <v>0</v>
      </c>
      <c r="U13" s="86" t="n">
        <f>SUM(U14:U15)</f>
        <v>0</v>
      </c>
      <c r="V13" s="86" t="n">
        <f>SUM(V14:V15)</f>
        <v>0</v>
      </c>
      <c r="W13" s="86" t="n">
        <f>SUM(W14:W15)</f>
        <v>0</v>
      </c>
      <c r="X13" s="86" t="n">
        <f>SUM(X14:X15)</f>
        <v>0</v>
      </c>
      <c r="Y13" s="86" t="n">
        <f>SUM(Y14:Y15)</f>
        <v>0</v>
      </c>
      <c r="Z13" s="86" t="n">
        <f>SUM(Z14:Z15)</f>
        <v>0</v>
      </c>
      <c r="AA13" s="86" t="n">
        <f>SUM(AA14:AA15)</f>
        <v>0</v>
      </c>
      <c r="AB13" s="86" t="n">
        <f>SUM(AB14:AB15)</f>
        <v>0</v>
      </c>
      <c r="AC13" s="86" t="n">
        <f>SUM(AC14:AC15)</f>
        <v>0</v>
      </c>
      <c r="AD13" s="86" t="n">
        <f>SUM(AD14:AD15)</f>
        <v>0</v>
      </c>
      <c r="AE13" s="86" t="n">
        <f>SUM(AE14:AE15)</f>
        <v>0</v>
      </c>
      <c r="AF13" s="86" t="n">
        <f>SUM(AF14:AF15)</f>
        <v>0</v>
      </c>
      <c r="AG13" s="86" t="n">
        <f>SUM(AG14:AG15)</f>
        <v>0</v>
      </c>
      <c r="AH13" s="86" t="n">
        <f>SUM(AH14:AH15)</f>
        <v>0</v>
      </c>
      <c r="AI13" s="86" t="n">
        <f>SUM(B13:AE13)</f>
        <v>5000</v>
      </c>
    </row>
    <row r="14" s="81" customFormat="1" ht="14.002500000000003" customHeight="1">
      <c r="A14" s="87" t="s">
        <v>452</v>
      </c>
      <c r="B14" s="86" t="n">
        <f>'分年计划及建设期利息'!E23</f>
        <v>2200</v>
      </c>
      <c r="C14" s="86" t="n">
        <f>'分年计划及建设期利息'!F23</f>
        <v>0</v>
      </c>
      <c r="D14" s="86" t="n">
        <f>'分年计划及建设期利息'!G23</f>
        <v>0</v>
      </c>
      <c r="E14" s="86" t="n">
        <f>'分年计划及建设期利息'!H23</f>
        <v>0</v>
      </c>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t="n">
        <f>SUM(B14:AE14)</f>
        <v>2200</v>
      </c>
    </row>
    <row r="15" s="81" customFormat="1" ht="14.002500000000003" customHeight="1">
      <c r="A15" s="87" t="s">
        <v>453</v>
      </c>
      <c r="B15" s="86" t="n">
        <f>'分年计划及建设期利息'!E22</f>
        <v>2309.9</v>
      </c>
      <c r="C15" s="86" t="n">
        <f>'分年计划及建设期利息'!F22</f>
        <v>490.1</v>
      </c>
      <c r="D15" s="86" t="n">
        <f>'分年计划及建设期利息'!G22</f>
        <v>0</v>
      </c>
      <c r="E15" s="86" t="n">
        <f>'分年计划及建设期利息'!H22</f>
        <v>0</v>
      </c>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t="n">
        <f>SUM(B15:AE15)</f>
        <v>2800</v>
      </c>
    </row>
    <row r="16" s="81" customFormat="1" ht="14.002500000000003" customHeight="1">
      <c r="A16" s="87" t="s">
        <v>454</v>
      </c>
      <c r="B16" s="86" t="n">
        <f>B17+B21</f>
        <v>4509.9</v>
      </c>
      <c r="C16" s="86" t="n">
        <f>C17+C21</f>
        <v>146.06</v>
      </c>
      <c r="D16" s="86" t="n">
        <f>D17+D21</f>
        <v>147.98</v>
      </c>
      <c r="E16" s="86" t="n">
        <f>E17+E21</f>
        <v>149.91</v>
      </c>
      <c r="F16" s="86" t="n">
        <f>F17+F21</f>
        <v>151.83</v>
      </c>
      <c r="G16" s="86" t="n">
        <f>G17+G21</f>
        <v>153.76</v>
      </c>
      <c r="H16" s="86" t="n">
        <f>H17+H21</f>
        <v>158.32</v>
      </c>
      <c r="I16" s="86" t="n">
        <f>I17+I21</f>
        <v>158.32</v>
      </c>
      <c r="J16" s="86" t="n">
        <f>J17+J21</f>
        <v>158.32</v>
      </c>
      <c r="K16" s="86" t="n">
        <f>K17+K21</f>
        <v>158.32</v>
      </c>
      <c r="L16" s="86" t="n">
        <f>L17+L21</f>
        <v>158.32</v>
      </c>
      <c r="M16" s="86" t="n">
        <f>M17+M21</f>
        <v>161.21</v>
      </c>
      <c r="N16" s="86" t="n">
        <f>N17+N21</f>
        <v>161.21</v>
      </c>
      <c r="O16" s="86" t="n">
        <f>O17+O21</f>
        <v>443.66</v>
      </c>
      <c r="P16" s="86" t="n">
        <f>P17+P21</f>
        <v>443.66</v>
      </c>
      <c r="Q16" s="86" t="n">
        <f>Q17+Q21</f>
        <v>161.21</v>
      </c>
      <c r="R16" s="86" t="n">
        <f>R17+R21</f>
        <v>164.36</v>
      </c>
      <c r="S16" s="86" t="n">
        <f>S17+S21</f>
        <v>164.36</v>
      </c>
      <c r="T16" s="86" t="n">
        <f>T17+T21</f>
        <v>164.36</v>
      </c>
      <c r="U16" s="86" t="n">
        <f>U17+U21</f>
        <v>164.36</v>
      </c>
      <c r="V16" s="86" t="n">
        <f>V17+V21</f>
        <v>164.36</v>
      </c>
      <c r="W16" s="86" t="n">
        <f>W17+W21</f>
        <v>167.8</v>
      </c>
      <c r="X16" s="86" t="n">
        <f>X17+X21</f>
        <v>167.8</v>
      </c>
      <c r="Y16" s="86" t="n">
        <f>Y17+Y21</f>
        <v>167.8</v>
      </c>
      <c r="Z16" s="86" t="n">
        <f>Z17+Z21</f>
        <v>178.37</v>
      </c>
      <c r="AA16" s="86" t="n">
        <f>AA17+AA21</f>
        <v>193.59</v>
      </c>
      <c r="AB16" s="86" t="n">
        <f>AB17+AB21</f>
        <v>199.57</v>
      </c>
      <c r="AC16" s="86" t="n">
        <f>AC17+AC21</f>
        <v>199.57</v>
      </c>
      <c r="AD16" s="86" t="n">
        <f>AD17+AD21</f>
        <v>199.57</v>
      </c>
      <c r="AE16" s="86" t="n">
        <f>AE17+AE21</f>
        <v>2399.57</v>
      </c>
      <c r="AF16" s="86" t="n">
        <f>AF17+AF21</f>
        <v>0</v>
      </c>
      <c r="AG16" s="86" t="e">
        <f>AG17+AG21</f>
        <v>#N/A</v>
      </c>
      <c r="AH16" s="86" t="e">
        <f>AH17+AH21</f>
        <v>#N/A</v>
      </c>
      <c r="AI16" s="86" t="n">
        <f>SUM(B16:AE16)</f>
        <v>12117.43</v>
      </c>
    </row>
    <row r="17" s="81" customFormat="1" ht="14.002500000000003" customHeight="1">
      <c r="A17" s="87" t="s">
        <v>455</v>
      </c>
      <c r="B17" s="86" t="n">
        <f>SUM(B18:B20)</f>
        <v>4408.7</v>
      </c>
      <c r="C17" s="86" t="n">
        <f>SUM(C18:C20)</f>
        <v>47.06</v>
      </c>
      <c r="D17" s="86" t="n">
        <f>SUM(D18:D20)</f>
        <v>48.98</v>
      </c>
      <c r="E17" s="86" t="n">
        <f>SUM(E18:E20)</f>
        <v>50.91</v>
      </c>
      <c r="F17" s="86" t="n">
        <f>SUM(F18:F20)</f>
        <v>52.83</v>
      </c>
      <c r="G17" s="86" t="n">
        <f>SUM(G18:G20)</f>
        <v>54.76</v>
      </c>
      <c r="H17" s="86" t="n">
        <f>SUM(H18:H20)</f>
        <v>59.32</v>
      </c>
      <c r="I17" s="86" t="n">
        <f>SUM(I18:I20)</f>
        <v>59.32</v>
      </c>
      <c r="J17" s="86" t="n">
        <f>SUM(J18:J20)</f>
        <v>59.32</v>
      </c>
      <c r="K17" s="86" t="n">
        <f>SUM(K18:K20)</f>
        <v>59.32</v>
      </c>
      <c r="L17" s="86" t="n">
        <f>SUM(L18:L20)</f>
        <v>59.32</v>
      </c>
      <c r="M17" s="86" t="n">
        <f>SUM(M18:M20)</f>
        <v>62.21</v>
      </c>
      <c r="N17" s="86" t="n">
        <f>SUM(N18:N20)</f>
        <v>62.21</v>
      </c>
      <c r="O17" s="86" t="n">
        <f>SUM(O18:O20)</f>
        <v>344.66</v>
      </c>
      <c r="P17" s="86" t="n">
        <f>SUM(P18:P20)</f>
        <v>344.66</v>
      </c>
      <c r="Q17" s="86" t="n">
        <f>SUM(Q18:Q20)</f>
        <v>62.21</v>
      </c>
      <c r="R17" s="86" t="n">
        <f>SUM(R18:R20)</f>
        <v>65.36</v>
      </c>
      <c r="S17" s="86" t="n">
        <f>SUM(S18:S20)</f>
        <v>65.36</v>
      </c>
      <c r="T17" s="86" t="n">
        <f>SUM(T18:T20)</f>
        <v>65.36</v>
      </c>
      <c r="U17" s="86" t="n">
        <f>SUM(U18:U20)</f>
        <v>65.36</v>
      </c>
      <c r="V17" s="86" t="n">
        <f>SUM(V18:V20)</f>
        <v>65.36</v>
      </c>
      <c r="W17" s="86" t="n">
        <f>SUM(W18:W20)</f>
        <v>68.8</v>
      </c>
      <c r="X17" s="86" t="n">
        <f>SUM(X18:X20)</f>
        <v>68.8</v>
      </c>
      <c r="Y17" s="86" t="n">
        <f>SUM(Y18:Y20)</f>
        <v>68.8</v>
      </c>
      <c r="Z17" s="86" t="n">
        <f>SUM(Z18:Z20)</f>
        <v>79.37</v>
      </c>
      <c r="AA17" s="86" t="n">
        <f>SUM(AA18:AA20)</f>
        <v>94.59</v>
      </c>
      <c r="AB17" s="86" t="n">
        <f>SUM(AB18:AB20)</f>
        <v>100.57</v>
      </c>
      <c r="AC17" s="86" t="n">
        <f>SUM(AC18:AC20)</f>
        <v>100.57</v>
      </c>
      <c r="AD17" s="86" t="n">
        <f>SUM(AD18:AD20)</f>
        <v>100.57</v>
      </c>
      <c r="AE17" s="86" t="n">
        <f>SUM(AE18:AE20)</f>
        <v>100.57</v>
      </c>
      <c r="AF17" s="86" t="n">
        <f>SUM(AF18:AF20)</f>
        <v>0</v>
      </c>
      <c r="AG17" s="86" t="e">
        <f>SUM(AG18:AG20)</f>
        <v>#N/A</v>
      </c>
      <c r="AH17" s="86" t="e">
        <f>SUM(AH18:AH20)</f>
        <v>#N/A</v>
      </c>
      <c r="AI17" s="86" t="n">
        <f>SUM(B17:AE17)</f>
        <v>6945.23</v>
      </c>
    </row>
    <row r="18" s="81" customFormat="1" ht="14.002500000000003" customHeight="1">
      <c r="A18" s="87" t="s">
        <v>456</v>
      </c>
      <c r="B18" s="86" t="n">
        <f>'分年计划及建设期利息'!E15-B21</f>
        <v>4408.7</v>
      </c>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t="n">
        <f>SUM(B18:AE18)</f>
        <v>4408.7</v>
      </c>
    </row>
    <row r="19" s="81" customFormat="1" ht="14.002500000000003" customHeight="1">
      <c r="A19" s="87" t="s">
        <v>457</v>
      </c>
      <c r="B19" s="86" t="n">
        <f t="array" ref="B19:AH19">TRANSPOSE('税费计算'!P5:P36)</f>
        <v>0</v>
      </c>
      <c r="C19" s="86" t="n">
        <v>0</v>
      </c>
      <c r="D19" s="86" t="n">
        <v>0</v>
      </c>
      <c r="E19" s="86" t="n">
        <v>0</v>
      </c>
      <c r="F19" s="86" t="n">
        <v>0</v>
      </c>
      <c r="G19" s="86" t="n">
        <v>0</v>
      </c>
      <c r="H19" s="86" t="n">
        <v>0</v>
      </c>
      <c r="I19" s="86" t="n">
        <v>0</v>
      </c>
      <c r="J19" s="86" t="n">
        <v>0</v>
      </c>
      <c r="K19" s="86" t="n">
        <v>0</v>
      </c>
      <c r="L19" s="86" t="n">
        <v>0</v>
      </c>
      <c r="M19" s="86" t="n">
        <v>0</v>
      </c>
      <c r="N19" s="86" t="n">
        <v>0</v>
      </c>
      <c r="O19" s="86" t="n">
        <v>0</v>
      </c>
      <c r="P19" s="88" t="n">
        <v>0</v>
      </c>
      <c r="Q19" s="88" t="n">
        <v>0</v>
      </c>
      <c r="R19" s="88" t="n">
        <v>0</v>
      </c>
      <c r="S19" s="88" t="n">
        <v>0</v>
      </c>
      <c r="T19" s="88" t="n">
        <v>0</v>
      </c>
      <c r="U19" s="88" t="n">
        <v>0</v>
      </c>
      <c r="V19" s="88" t="n">
        <v>0</v>
      </c>
      <c r="W19" s="88" t="n">
        <v>0</v>
      </c>
      <c r="X19" s="88" t="n">
        <v>0</v>
      </c>
      <c r="Y19" s="88" t="n">
        <v>0</v>
      </c>
      <c r="Z19" s="88" t="n">
        <v>10.57</v>
      </c>
      <c r="AA19" s="88" t="n">
        <v>25.79</v>
      </c>
      <c r="AB19" s="88" t="n">
        <v>28.01</v>
      </c>
      <c r="AC19" s="88" t="n">
        <v>28.01</v>
      </c>
      <c r="AD19" s="88" t="n">
        <v>28.01</v>
      </c>
      <c r="AE19" s="88" t="n">
        <v>28.01</v>
      </c>
      <c r="AF19" s="88" t="n">
        <v>0</v>
      </c>
      <c r="AG19" s="88" t="n">
        <v>0</v>
      </c>
      <c r="AH19" s="88" t="e">
        <v>#N/A</v>
      </c>
      <c r="AI19" s="86" t="n">
        <f>SUM(B19:AE19)</f>
        <v>148.4</v>
      </c>
    </row>
    <row r="20" s="81" customFormat="1" ht="14.002500000000003" customHeight="1">
      <c r="A20" s="87" t="s">
        <v>355</v>
      </c>
      <c r="B20" s="86" t="n">
        <f t="array" ref="B20:AH20">TRANSPOSE('收入成本'!AB4:AB34)</f>
        <v>0</v>
      </c>
      <c r="C20" s="86" t="n">
        <v>47.06</v>
      </c>
      <c r="D20" s="86" t="n">
        <v>48.98</v>
      </c>
      <c r="E20" s="86" t="n">
        <v>50.91</v>
      </c>
      <c r="F20" s="86" t="n">
        <v>52.83</v>
      </c>
      <c r="G20" s="86" t="n">
        <v>54.76</v>
      </c>
      <c r="H20" s="86" t="n">
        <v>59.32</v>
      </c>
      <c r="I20" s="86" t="n">
        <v>59.32</v>
      </c>
      <c r="J20" s="86" t="n">
        <v>59.32</v>
      </c>
      <c r="K20" s="86" t="n">
        <v>59.32</v>
      </c>
      <c r="L20" s="86" t="n">
        <v>59.32</v>
      </c>
      <c r="M20" s="86" t="n">
        <v>62.21</v>
      </c>
      <c r="N20" s="86" t="n">
        <v>62.21</v>
      </c>
      <c r="O20" s="86" t="n">
        <v>344.66</v>
      </c>
      <c r="P20" s="86" t="n">
        <v>344.66</v>
      </c>
      <c r="Q20" s="86" t="n">
        <v>62.21</v>
      </c>
      <c r="R20" s="86" t="n">
        <v>65.36</v>
      </c>
      <c r="S20" s="86" t="n">
        <v>65.36</v>
      </c>
      <c r="T20" s="86" t="n">
        <v>65.36</v>
      </c>
      <c r="U20" s="86" t="n">
        <v>65.36</v>
      </c>
      <c r="V20" s="86" t="n">
        <v>65.36</v>
      </c>
      <c r="W20" s="86" t="n">
        <v>68.8</v>
      </c>
      <c r="X20" s="86" t="n">
        <v>68.8</v>
      </c>
      <c r="Y20" s="86" t="n">
        <v>68.8</v>
      </c>
      <c r="Z20" s="86" t="n">
        <v>68.8</v>
      </c>
      <c r="AA20" s="86" t="n">
        <v>68.8</v>
      </c>
      <c r="AB20" s="86" t="n">
        <v>72.56</v>
      </c>
      <c r="AC20" s="86" t="n">
        <v>72.56</v>
      </c>
      <c r="AD20" s="86" t="n">
        <v>72.56</v>
      </c>
      <c r="AE20" s="86" t="n">
        <v>72.56</v>
      </c>
      <c r="AF20" s="86" t="n">
        <v>0</v>
      </c>
      <c r="AG20" s="86" t="e">
        <v>#N/A</v>
      </c>
      <c r="AH20" s="86" t="e">
        <v>#N/A</v>
      </c>
      <c r="AI20" s="86" t="n">
        <f>SUM(B20:AE20)</f>
        <v>2388.13</v>
      </c>
    </row>
    <row r="21" s="81" customFormat="1" ht="14.002500000000003" customHeight="1">
      <c r="A21" s="87" t="s">
        <v>458</v>
      </c>
      <c r="B21" s="86" t="n">
        <f>SUM(B22:B24)</f>
        <v>101.2</v>
      </c>
      <c r="C21" s="86" t="n">
        <f>SUM(C22:C24)</f>
        <v>99</v>
      </c>
      <c r="D21" s="86" t="n">
        <f>SUM(D22:D24)</f>
        <v>99</v>
      </c>
      <c r="E21" s="86" t="n">
        <f>SUM(E22:E24)</f>
        <v>99</v>
      </c>
      <c r="F21" s="86" t="n">
        <f>SUM(F22:F24)</f>
        <v>99</v>
      </c>
      <c r="G21" s="86" t="n">
        <f>SUM(G22:G24)</f>
        <v>99</v>
      </c>
      <c r="H21" s="86" t="n">
        <f>SUM(H22:H24)</f>
        <v>99</v>
      </c>
      <c r="I21" s="86" t="n">
        <f>SUM(I22:I24)</f>
        <v>99</v>
      </c>
      <c r="J21" s="86" t="n">
        <f>SUM(J22:J24)</f>
        <v>99</v>
      </c>
      <c r="K21" s="86" t="n">
        <f>SUM(K22:K24)</f>
        <v>99</v>
      </c>
      <c r="L21" s="86" t="n">
        <f>SUM(L22:L24)</f>
        <v>99</v>
      </c>
      <c r="M21" s="86" t="n">
        <f>SUM(M22:M24)</f>
        <v>99</v>
      </c>
      <c r="N21" s="86" t="n">
        <f>SUM(N22:N24)</f>
        <v>99</v>
      </c>
      <c r="O21" s="86" t="n">
        <f>SUM(O22:O24)</f>
        <v>99</v>
      </c>
      <c r="P21" s="86" t="n">
        <f>SUM(P22:P24)</f>
        <v>99</v>
      </c>
      <c r="Q21" s="86" t="n">
        <f>SUM(Q22:Q24)</f>
        <v>99</v>
      </c>
      <c r="R21" s="86" t="n">
        <f>SUM(R22:R24)</f>
        <v>99</v>
      </c>
      <c r="S21" s="86" t="n">
        <f>SUM(S22:S24)</f>
        <v>99</v>
      </c>
      <c r="T21" s="86" t="n">
        <f>SUM(T22:T24)</f>
        <v>99</v>
      </c>
      <c r="U21" s="86" t="n">
        <f>SUM(U22:U24)</f>
        <v>99</v>
      </c>
      <c r="V21" s="86" t="n">
        <f>SUM(V22:V24)</f>
        <v>99</v>
      </c>
      <c r="W21" s="86" t="n">
        <f>SUM(W22:W24)</f>
        <v>99</v>
      </c>
      <c r="X21" s="86" t="n">
        <f>SUM(X22:X24)</f>
        <v>99</v>
      </c>
      <c r="Y21" s="86" t="n">
        <f>SUM(Y22:Y24)</f>
        <v>99</v>
      </c>
      <c r="Z21" s="86" t="n">
        <f>SUM(Z22:Z24)</f>
        <v>99</v>
      </c>
      <c r="AA21" s="86" t="n">
        <f>SUM(AA22:AA24)</f>
        <v>99</v>
      </c>
      <c r="AB21" s="86" t="n">
        <f>SUM(AB22:AB24)</f>
        <v>99</v>
      </c>
      <c r="AC21" s="86" t="n">
        <f>SUM(AC22:AC24)</f>
        <v>99</v>
      </c>
      <c r="AD21" s="86" t="n">
        <f>SUM(AD22:AD24)</f>
        <v>99</v>
      </c>
      <c r="AE21" s="86" t="n">
        <f>SUM(AE22:AE24)</f>
        <v>2299</v>
      </c>
      <c r="AF21" s="86" t="n">
        <f>SUM(AF22:AF24)</f>
        <v>0</v>
      </c>
      <c r="AG21" s="86"/>
      <c r="AH21" s="86"/>
      <c r="AI21" s="86" t="n">
        <f>SUM(B21:AE21)</f>
        <v>5172.2</v>
      </c>
    </row>
    <row r="22" s="81" customFormat="1" ht="14.002500000000003" customHeight="1">
      <c r="A22" s="87" t="s">
        <v>459</v>
      </c>
      <c r="B22" s="86" t="n">
        <f>B14*0.1%</f>
        <v>2.2</v>
      </c>
      <c r="C22" s="86" t="n">
        <f>C14*0.1%</f>
        <v>0</v>
      </c>
      <c r="D22" s="86" t="n">
        <f>D14*0.1%</f>
        <v>0</v>
      </c>
      <c r="E22" s="86" t="n">
        <f>E14*0.1%</f>
        <v>0</v>
      </c>
      <c r="F22" s="86" t="n">
        <f>F14*0.1%</f>
        <v>0</v>
      </c>
      <c r="G22" s="86" t="n">
        <f>G14*0.1%</f>
        <v>0</v>
      </c>
      <c r="H22" s="86" t="n">
        <f>H14*0.1%</f>
        <v>0</v>
      </c>
      <c r="I22" s="86" t="n">
        <f>I14*0.1%</f>
        <v>0</v>
      </c>
      <c r="J22" s="86" t="n">
        <f>J14*0.1%</f>
        <v>0</v>
      </c>
      <c r="K22" s="86" t="n">
        <f>K14*0.1%</f>
        <v>0</v>
      </c>
      <c r="L22" s="86" t="n">
        <f>L14*0.1%</f>
        <v>0</v>
      </c>
      <c r="M22" s="86" t="n">
        <f>M14*0.1%</f>
        <v>0</v>
      </c>
      <c r="N22" s="86" t="n">
        <f>N14*0.1%</f>
        <v>0</v>
      </c>
      <c r="O22" s="86" t="n">
        <f>O14*0.1%</f>
        <v>0</v>
      </c>
      <c r="P22" s="86" t="n">
        <f>P14*0.1%</f>
        <v>0</v>
      </c>
      <c r="Q22" s="86" t="n">
        <f>Q14*0.1%</f>
        <v>0</v>
      </c>
      <c r="R22" s="86" t="n">
        <f>R14*0.1%</f>
        <v>0</v>
      </c>
      <c r="S22" s="86" t="n">
        <f>S14*0.1%</f>
        <v>0</v>
      </c>
      <c r="T22" s="86" t="n">
        <f>T14*0.1%</f>
        <v>0</v>
      </c>
      <c r="U22" s="86" t="n">
        <f>U14*0.1%</f>
        <v>0</v>
      </c>
      <c r="V22" s="86" t="n">
        <f>V14*0.1%</f>
        <v>0</v>
      </c>
      <c r="W22" s="86" t="n">
        <f>W14*0.1%</f>
        <v>0</v>
      </c>
      <c r="X22" s="86" t="n">
        <f>X14*0.1%</f>
        <v>0</v>
      </c>
      <c r="Y22" s="86" t="n">
        <f>Y14*0.1%</f>
        <v>0</v>
      </c>
      <c r="Z22" s="86" t="n">
        <f>Z14*0.1%</f>
        <v>0</v>
      </c>
      <c r="AA22" s="86" t="n">
        <f>AA14*0.1%</f>
        <v>0</v>
      </c>
      <c r="AB22" s="86" t="n">
        <f>AB14*0.1%</f>
        <v>0</v>
      </c>
      <c r="AC22" s="86" t="n">
        <f>AC14*0.1%</f>
        <v>0</v>
      </c>
      <c r="AD22" s="86" t="n">
        <f>AD14*0.1%</f>
        <v>0</v>
      </c>
      <c r="AE22" s="86" t="n">
        <f>AE14*0.1%</f>
        <v>0</v>
      </c>
      <c r="AF22" s="86" t="n">
        <f>AF14*0.1%</f>
        <v>0</v>
      </c>
      <c r="AG22" s="86" t="n">
        <f>AG14*0.1%</f>
        <v>0</v>
      </c>
      <c r="AH22" s="86" t="n">
        <f>AH14*0.1%</f>
        <v>0</v>
      </c>
      <c r="AI22" s="86" t="n">
        <f>SUM(B22:AE22)</f>
        <v>2.2</v>
      </c>
    </row>
    <row r="23" s="81" customFormat="1" ht="14.002500000000003" customHeight="1">
      <c r="A23" s="87" t="s">
        <v>460</v>
      </c>
      <c r="B23" s="86" t="n">
        <f t="array" ref="B23:AH23">TRANSPOSE('还本付息'!E5:E37)</f>
        <v>0</v>
      </c>
      <c r="C23" s="86" t="n">
        <v>0</v>
      </c>
      <c r="D23" s="86" t="n">
        <v>0</v>
      </c>
      <c r="E23" s="86" t="n">
        <v>0</v>
      </c>
      <c r="F23" s="86" t="n">
        <v>0</v>
      </c>
      <c r="G23" s="86" t="n">
        <v>0</v>
      </c>
      <c r="H23" s="86" t="n">
        <v>0</v>
      </c>
      <c r="I23" s="86" t="n">
        <v>0</v>
      </c>
      <c r="J23" s="86" t="n">
        <v>0</v>
      </c>
      <c r="K23" s="86" t="n">
        <v>0</v>
      </c>
      <c r="L23" s="86" t="n">
        <v>0</v>
      </c>
      <c r="M23" s="86" t="n">
        <v>0</v>
      </c>
      <c r="N23" s="86" t="n">
        <v>0</v>
      </c>
      <c r="O23" s="86" t="n">
        <v>0</v>
      </c>
      <c r="P23" s="86" t="n">
        <v>0</v>
      </c>
      <c r="Q23" s="86" t="n">
        <v>0</v>
      </c>
      <c r="R23" s="86" t="n">
        <v>0</v>
      </c>
      <c r="S23" s="86" t="n">
        <v>0</v>
      </c>
      <c r="T23" s="86" t="n">
        <v>0</v>
      </c>
      <c r="U23" s="86" t="n">
        <v>0</v>
      </c>
      <c r="V23" s="86" t="n">
        <v>0</v>
      </c>
      <c r="W23" s="86" t="n">
        <v>0</v>
      </c>
      <c r="X23" s="86" t="n">
        <v>0</v>
      </c>
      <c r="Y23" s="86" t="n">
        <v>0</v>
      </c>
      <c r="Z23" s="86" t="n">
        <v>0</v>
      </c>
      <c r="AA23" s="86" t="n">
        <v>0</v>
      </c>
      <c r="AB23" s="86" t="n">
        <v>0</v>
      </c>
      <c r="AC23" s="86" t="n">
        <v>0</v>
      </c>
      <c r="AD23" s="86" t="n">
        <v>0</v>
      </c>
      <c r="AE23" s="86" t="n">
        <v>2200</v>
      </c>
      <c r="AF23" s="86" t="n">
        <v>0</v>
      </c>
      <c r="AG23" s="86" t="n">
        <v>0</v>
      </c>
      <c r="AH23" s="86" t="n">
        <v>0</v>
      </c>
      <c r="AI23" s="86" t="n">
        <f>SUM(B23:AE23)</f>
        <v>2200</v>
      </c>
    </row>
    <row r="24" s="81" customFormat="1" ht="14.002500000000003" customHeight="1">
      <c r="A24" s="87" t="s">
        <v>461</v>
      </c>
      <c r="B24" s="86" t="n">
        <f t="array" ref="B24:AH24">TRANSPOSE('还本付息'!H5:H37)</f>
        <v>99</v>
      </c>
      <c r="C24" s="86" t="n">
        <v>99</v>
      </c>
      <c r="D24" s="86" t="n">
        <v>99</v>
      </c>
      <c r="E24" s="86" t="n">
        <v>99</v>
      </c>
      <c r="F24" s="86" t="n">
        <v>99</v>
      </c>
      <c r="G24" s="86" t="n">
        <v>99</v>
      </c>
      <c r="H24" s="86" t="n">
        <v>99</v>
      </c>
      <c r="I24" s="86" t="n">
        <v>99</v>
      </c>
      <c r="J24" s="86" t="n">
        <v>99</v>
      </c>
      <c r="K24" s="86" t="n">
        <v>99</v>
      </c>
      <c r="L24" s="86" t="n">
        <v>99</v>
      </c>
      <c r="M24" s="86" t="n">
        <v>99</v>
      </c>
      <c r="N24" s="86" t="n">
        <v>99</v>
      </c>
      <c r="O24" s="86" t="n">
        <v>99</v>
      </c>
      <c r="P24" s="86" t="n">
        <v>99</v>
      </c>
      <c r="Q24" s="86" t="n">
        <v>99</v>
      </c>
      <c r="R24" s="86" t="n">
        <v>99</v>
      </c>
      <c r="S24" s="86" t="n">
        <v>99</v>
      </c>
      <c r="T24" s="86" t="n">
        <v>99</v>
      </c>
      <c r="U24" s="86" t="n">
        <v>99</v>
      </c>
      <c r="V24" s="86" t="n">
        <v>99</v>
      </c>
      <c r="W24" s="86" t="n">
        <v>99</v>
      </c>
      <c r="X24" s="86" t="n">
        <v>99</v>
      </c>
      <c r="Y24" s="86" t="n">
        <v>99</v>
      </c>
      <c r="Z24" s="86" t="n">
        <v>99</v>
      </c>
      <c r="AA24" s="86" t="n">
        <v>99</v>
      </c>
      <c r="AB24" s="86" t="n">
        <v>99</v>
      </c>
      <c r="AC24" s="86" t="n">
        <v>99</v>
      </c>
      <c r="AD24" s="86" t="n">
        <v>99</v>
      </c>
      <c r="AE24" s="86" t="n">
        <v>99</v>
      </c>
      <c r="AF24" s="86" t="n">
        <v>0</v>
      </c>
      <c r="AG24" s="86" t="n">
        <v>0</v>
      </c>
      <c r="AH24" s="86" t="n">
        <v>0</v>
      </c>
      <c r="AI24" s="86" t="n">
        <f>SUM(B24:AE24)</f>
        <v>2970</v>
      </c>
    </row>
    <row r="25" s="81" customFormat="1" ht="14.002500000000003" customHeight="1">
      <c r="A25" s="87" t="s">
        <v>462</v>
      </c>
      <c r="B25" s="86"/>
      <c r="C25" s="86" t="n">
        <f>B27</f>
        <v>0</v>
      </c>
      <c r="D25" s="86" t="n">
        <f>C27</f>
        <v>554.83</v>
      </c>
      <c r="E25" s="86" t="n">
        <f>D27</f>
        <v>638.72</v>
      </c>
      <c r="F25" s="86" t="n">
        <f>E27</f>
        <v>741.76</v>
      </c>
      <c r="G25" s="86" t="n">
        <f>F27</f>
        <v>863.95</v>
      </c>
      <c r="H25" s="86" t="n">
        <f>G27</f>
        <v>1005.3</v>
      </c>
      <c r="I25" s="86" t="n">
        <f>H27</f>
        <v>1186.57</v>
      </c>
      <c r="J25" s="86" t="n">
        <f>I27</f>
        <v>1367.84</v>
      </c>
      <c r="K25" s="86" t="n">
        <f>J27</f>
        <v>1549.11</v>
      </c>
      <c r="L25" s="86" t="n">
        <f>K27</f>
        <v>1730.38</v>
      </c>
      <c r="M25" s="86" t="n">
        <f>L27</f>
        <v>1911.65</v>
      </c>
      <c r="N25" s="86" t="n">
        <f>M27</f>
        <v>2116.47</v>
      </c>
      <c r="O25" s="86" t="n">
        <f>N27</f>
        <v>2321.29</v>
      </c>
      <c r="P25" s="86" t="n">
        <f>O27</f>
        <v>2243.66</v>
      </c>
      <c r="Q25" s="86" t="n">
        <f>P27</f>
        <v>2166.03</v>
      </c>
      <c r="R25" s="86" t="n">
        <f>Q27</f>
        <v>2370.85</v>
      </c>
      <c r="S25" s="86" t="n">
        <f>R27</f>
        <v>2600.61</v>
      </c>
      <c r="T25" s="86" t="n">
        <f>S27</f>
        <v>2830.37</v>
      </c>
      <c r="U25" s="86" t="n">
        <f>T27</f>
        <v>3060.13</v>
      </c>
      <c r="V25" s="86" t="n">
        <f>U27</f>
        <v>3289.89</v>
      </c>
      <c r="W25" s="86" t="n">
        <f>V27</f>
        <v>3519.65</v>
      </c>
      <c r="X25" s="86" t="n">
        <f>W27</f>
        <v>3777.09</v>
      </c>
      <c r="Y25" s="86" t="n">
        <f>X27</f>
        <v>4034.53</v>
      </c>
      <c r="Z25" s="86" t="n">
        <f>Y27</f>
        <v>4291.97</v>
      </c>
      <c r="AA25" s="86" t="n">
        <f>Z27</f>
        <v>4538.84</v>
      </c>
      <c r="AB25" s="86" t="n">
        <f>AA27</f>
        <v>4770.49</v>
      </c>
      <c r="AC25" s="86" t="n">
        <f>AB27</f>
        <v>5030.57</v>
      </c>
      <c r="AD25" s="86" t="n">
        <f>AC27</f>
        <v>5290.65</v>
      </c>
      <c r="AE25" s="86" t="n">
        <f>AD27</f>
        <v>5550.73</v>
      </c>
      <c r="AF25" s="86" t="n">
        <f>AE27</f>
        <v>3610.81</v>
      </c>
      <c r="AG25" s="86" t="n">
        <f>AF27</f>
        <v>3610.81</v>
      </c>
      <c r="AH25" s="86" t="e">
        <f>AG27</f>
        <v>#N/A</v>
      </c>
      <c r="AI25" s="86"/>
    </row>
    <row r="26" s="81" customFormat="1" ht="14.002500000000003" customHeight="1">
      <c r="A26" s="87" t="s">
        <v>463</v>
      </c>
      <c r="B26" s="86" t="n">
        <f>B4-B16</f>
        <v>0</v>
      </c>
      <c r="C26" s="86" t="n">
        <f>C4-C16</f>
        <v>554.83</v>
      </c>
      <c r="D26" s="86" t="n">
        <f>D4-D16</f>
        <v>83.89</v>
      </c>
      <c r="E26" s="86" t="n">
        <f>E4-E16</f>
        <v>103.04</v>
      </c>
      <c r="F26" s="86" t="n">
        <f>F4-F16</f>
        <v>122.19</v>
      </c>
      <c r="G26" s="86" t="n">
        <f>G4-G16</f>
        <v>141.35</v>
      </c>
      <c r="H26" s="86" t="n">
        <f>H4-H16</f>
        <v>181.27</v>
      </c>
      <c r="I26" s="86" t="n">
        <f>I4-I16</f>
        <v>181.27</v>
      </c>
      <c r="J26" s="86" t="n">
        <f>J4-J16</f>
        <v>181.27</v>
      </c>
      <c r="K26" s="86" t="n">
        <f>K4-K16</f>
        <v>181.27</v>
      </c>
      <c r="L26" s="86" t="n">
        <f>L4-L16</f>
        <v>181.27</v>
      </c>
      <c r="M26" s="86" t="n">
        <f>M4-M16</f>
        <v>204.82</v>
      </c>
      <c r="N26" s="86" t="n">
        <f>N4-N16</f>
        <v>204.82</v>
      </c>
      <c r="O26" s="86" t="n">
        <f>O4-O16</f>
        <v>-77.6300000000001</v>
      </c>
      <c r="P26" s="86" t="n">
        <f>P4-P16</f>
        <v>-77.6300000000001</v>
      </c>
      <c r="Q26" s="86" t="n">
        <f>Q4-Q16</f>
        <v>204.82</v>
      </c>
      <c r="R26" s="86" t="n">
        <f>R4-R16</f>
        <v>229.76</v>
      </c>
      <c r="S26" s="86" t="n">
        <f>S4-S16</f>
        <v>229.76</v>
      </c>
      <c r="T26" s="86" t="n">
        <f>T4-T16</f>
        <v>229.76</v>
      </c>
      <c r="U26" s="86" t="n">
        <f>U4-U16</f>
        <v>229.76</v>
      </c>
      <c r="V26" s="86" t="n">
        <f>V4-V16</f>
        <v>229.76</v>
      </c>
      <c r="W26" s="86" t="n">
        <f>W4-W16</f>
        <v>257.44</v>
      </c>
      <c r="X26" s="86" t="n">
        <f>X4-X16</f>
        <v>257.44</v>
      </c>
      <c r="Y26" s="86" t="n">
        <f>Y4-Y16</f>
        <v>257.44</v>
      </c>
      <c r="Z26" s="86" t="n">
        <f>Z4-Z16</f>
        <v>246.87</v>
      </c>
      <c r="AA26" s="86" t="n">
        <f>AA4-AA16</f>
        <v>231.65</v>
      </c>
      <c r="AB26" s="86" t="n">
        <f>AB4-AB16</f>
        <v>260.08</v>
      </c>
      <c r="AC26" s="86" t="n">
        <f>AC4-AC16</f>
        <v>260.08</v>
      </c>
      <c r="AD26" s="86" t="n">
        <f>AD4-AD16</f>
        <v>260.08</v>
      </c>
      <c r="AE26" s="86" t="n">
        <f>AE4-AE16</f>
        <v>-1939.92</v>
      </c>
      <c r="AF26" s="86" t="n">
        <f>AF4-AF16</f>
        <v>0</v>
      </c>
      <c r="AG26" s="86" t="e">
        <f>AG4-AG16</f>
        <v>#N/A</v>
      </c>
      <c r="AH26" s="86" t="e">
        <f>AH4-AH16</f>
        <v>#N/A</v>
      </c>
      <c r="AI26" s="86" t="n">
        <f>SUM(B26:AE26)</f>
        <v>3610.81</v>
      </c>
    </row>
    <row r="27" s="81" customFormat="1" ht="14.002500000000003" customHeight="1">
      <c r="A27" s="87" t="s">
        <v>464</v>
      </c>
      <c r="B27" s="86" t="n">
        <f>B25+B26</f>
        <v>0</v>
      </c>
      <c r="C27" s="86" t="n">
        <f>C25+C26</f>
        <v>554.83</v>
      </c>
      <c r="D27" s="86" t="n">
        <f>D25+D26</f>
        <v>638.72</v>
      </c>
      <c r="E27" s="86" t="n">
        <f>E25+E26</f>
        <v>741.76</v>
      </c>
      <c r="F27" s="86" t="n">
        <f>F25+F26</f>
        <v>863.95</v>
      </c>
      <c r="G27" s="86" t="n">
        <f>G25+G26</f>
        <v>1005.3</v>
      </c>
      <c r="H27" s="86" t="n">
        <f>H25+H26</f>
        <v>1186.57</v>
      </c>
      <c r="I27" s="86" t="n">
        <f>I25+I26</f>
        <v>1367.84</v>
      </c>
      <c r="J27" s="86" t="n">
        <f>J25+J26</f>
        <v>1549.11</v>
      </c>
      <c r="K27" s="86" t="n">
        <f>K25+K26</f>
        <v>1730.38</v>
      </c>
      <c r="L27" s="86" t="n">
        <f>L25+L26</f>
        <v>1911.65</v>
      </c>
      <c r="M27" s="86" t="n">
        <f>M25+M26</f>
        <v>2116.47</v>
      </c>
      <c r="N27" s="86" t="n">
        <f>N25+N26</f>
        <v>2321.29</v>
      </c>
      <c r="O27" s="86" t="n">
        <f>O25+O26</f>
        <v>2243.66</v>
      </c>
      <c r="P27" s="86" t="n">
        <f>P25+P26</f>
        <v>2166.03</v>
      </c>
      <c r="Q27" s="86" t="n">
        <f>Q25+Q26</f>
        <v>2370.85</v>
      </c>
      <c r="R27" s="86" t="n">
        <f>R25+R26</f>
        <v>2600.61</v>
      </c>
      <c r="S27" s="86" t="n">
        <f>S25+S26</f>
        <v>2830.37</v>
      </c>
      <c r="T27" s="86" t="n">
        <f>T25+T26</f>
        <v>3060.13</v>
      </c>
      <c r="U27" s="86" t="n">
        <f>U25+U26</f>
        <v>3289.89</v>
      </c>
      <c r="V27" s="86" t="n">
        <f>V25+V26</f>
        <v>3519.65</v>
      </c>
      <c r="W27" s="86" t="n">
        <f>W25+W26</f>
        <v>3777.09</v>
      </c>
      <c r="X27" s="86" t="n">
        <f>X25+X26</f>
        <v>4034.53</v>
      </c>
      <c r="Y27" s="86" t="n">
        <f>Y25+Y26</f>
        <v>4291.97</v>
      </c>
      <c r="Z27" s="86" t="n">
        <f>Z25+Z26</f>
        <v>4538.84</v>
      </c>
      <c r="AA27" s="86" t="n">
        <f>AA25+AA26</f>
        <v>4770.49</v>
      </c>
      <c r="AB27" s="86" t="n">
        <f>AB25+AB26</f>
        <v>5030.57</v>
      </c>
      <c r="AC27" s="86" t="n">
        <f>AC25+AC26</f>
        <v>5290.65</v>
      </c>
      <c r="AD27" s="86" t="n">
        <f>AD25+AD26</f>
        <v>5550.73</v>
      </c>
      <c r="AE27" s="86" t="n">
        <f>AE25+AE26</f>
        <v>3610.81</v>
      </c>
      <c r="AF27" s="86" t="n">
        <f>AF25+AF26</f>
        <v>3610.81</v>
      </c>
      <c r="AG27" s="86" t="e">
        <f>AG25+AG26</f>
        <v>#N/A</v>
      </c>
      <c r="AH27" s="86" t="e">
        <f>AH25+AH26</f>
        <v>#N/A</v>
      </c>
      <c r="AI27" s="86" t="n">
        <f>AE27</f>
        <v>3610.81</v>
      </c>
    </row>
  </sheetData>
  <mergeCells count="1">
    <mergeCell ref="A1:AI1"/>
  </mergeCells>
  <phoneticPr fontId="1" type="noConversion"/>
  <conditionalFormatting sqref="B27:AH27">
    <cfRule priority="11" type="cellIs" operator="lessThan" dxfId="5">
      <formula>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002500000000003" customHeight="1"/>
  <cols>
    <col min="1" max="1" width="22.166015625" customWidth="1" style="548"/>
    <col min="2" max="10" width="10.3330078125" customWidth="1" style="548"/>
    <col min="11" max="12" width="11.33203125" customWidth="1" style="548"/>
  </cols>
  <sheetData>
    <row r="1" ht="14.002500000000003" customHeight="1">
      <c r="A1" s="85" t="s">
        <v>263</v>
      </c>
      <c r="B1" s="86" t="s">
        <v>434</v>
      </c>
      <c r="C1" s="86" t="s">
        <v>435</v>
      </c>
      <c r="D1" s="86" t="s">
        <v>436</v>
      </c>
      <c r="E1" s="86" t="s">
        <v>437</v>
      </c>
      <c r="F1" s="86" t="s">
        <v>438</v>
      </c>
      <c r="G1" s="86" t="s">
        <v>439</v>
      </c>
      <c r="H1" s="86" t="s">
        <v>440</v>
      </c>
      <c r="I1" s="86" t="s">
        <v>441</v>
      </c>
      <c r="J1" s="86" t="s">
        <v>442</v>
      </c>
      <c r="K1" s="86" t="s">
        <v>443</v>
      </c>
      <c r="L1" s="86" t="s">
        <v>195</v>
      </c>
    </row>
    <row r="2" ht="14.002500000000003" customHeight="1">
      <c r="A2" s="87" t="s">
        <v>447</v>
      </c>
      <c r="B2" s="86" t="n">
        <v>394.12</v>
      </c>
      <c r="C2" s="86" t="n">
        <v>425.24</v>
      </c>
      <c r="D2" s="86" t="n">
        <v>425.24</v>
      </c>
      <c r="E2" s="86" t="n">
        <v>425.24</v>
      </c>
      <c r="F2" s="86" t="n">
        <v>425.24</v>
      </c>
      <c r="G2" s="86" t="n">
        <v>425.24</v>
      </c>
      <c r="H2" s="86" t="n">
        <v>459.65</v>
      </c>
      <c r="I2" s="86" t="n">
        <v>459.65</v>
      </c>
      <c r="J2" s="86" t="n">
        <v>459.65</v>
      </c>
      <c r="K2" s="86" t="n">
        <v>459.65</v>
      </c>
      <c r="L2" s="86" t="n">
        <v>15728.240000000005</v>
      </c>
    </row>
    <row r="3" ht="14.002500000000003" customHeight="1">
      <c r="A3" s="87" t="s">
        <v>448</v>
      </c>
      <c r="B3" s="86" t="n">
        <v>394.12</v>
      </c>
      <c r="C3" s="86" t="n">
        <v>425.24</v>
      </c>
      <c r="D3" s="86" t="n">
        <v>425.24</v>
      </c>
      <c r="E3" s="86" t="n">
        <v>425.24</v>
      </c>
      <c r="F3" s="86" t="n">
        <v>425.24</v>
      </c>
      <c r="G3" s="86" t="n">
        <v>425.24</v>
      </c>
      <c r="H3" s="86" t="n">
        <v>459.65</v>
      </c>
      <c r="I3" s="86" t="n">
        <v>459.65</v>
      </c>
      <c r="J3" s="86" t="n">
        <v>459.65</v>
      </c>
      <c r="K3" s="86" t="n">
        <v>459.65</v>
      </c>
      <c r="L3" s="86" t="n">
        <v>10728.239999999996</v>
      </c>
    </row>
    <row r="4" ht="14.002500000000003" customHeight="1">
      <c r="A4" s="87" t="s">
        <v>449</v>
      </c>
      <c r="B4" s="86" t="n">
        <v>355.6</v>
      </c>
      <c r="C4" s="86" t="n">
        <v>382.7</v>
      </c>
      <c r="D4" s="86" t="n">
        <v>382.7</v>
      </c>
      <c r="E4" s="86" t="n">
        <v>382.7</v>
      </c>
      <c r="F4" s="86" t="n">
        <v>382.7</v>
      </c>
      <c r="G4" s="86" t="n">
        <v>382.7</v>
      </c>
      <c r="H4" s="86" t="n">
        <v>413.09</v>
      </c>
      <c r="I4" s="86" t="n">
        <v>413.09</v>
      </c>
      <c r="J4" s="86" t="n">
        <v>413.09</v>
      </c>
      <c r="K4" s="86" t="n">
        <v>413.09</v>
      </c>
      <c r="L4" s="86" t="n">
        <v>9688.270000000002</v>
      </c>
    </row>
    <row r="5" ht="14.002500000000003" customHeight="1">
      <c r="A5" s="87" t="s">
        <v>450</v>
      </c>
      <c r="B5" s="86" t="n">
        <v>38.52</v>
      </c>
      <c r="C5" s="86" t="n">
        <v>42.54</v>
      </c>
      <c r="D5" s="86" t="n">
        <v>42.54</v>
      </c>
      <c r="E5" s="86" t="n">
        <v>42.54</v>
      </c>
      <c r="F5" s="86" t="n">
        <v>42.54</v>
      </c>
      <c r="G5" s="86" t="n">
        <v>42.54</v>
      </c>
      <c r="H5" s="86" t="n">
        <v>46.56</v>
      </c>
      <c r="I5" s="86" t="n">
        <v>46.56</v>
      </c>
      <c r="J5" s="86" t="n">
        <v>46.56</v>
      </c>
      <c r="K5" s="86" t="n">
        <v>46.56</v>
      </c>
      <c r="L5" s="86" t="n">
        <v>1039.9699999999996</v>
      </c>
    </row>
    <row r="6" ht="14.002500000000003" customHeight="1">
      <c r="A6" s="87" t="s">
        <v>340</v>
      </c>
      <c r="B6" s="86" t="n">
        <v>0</v>
      </c>
      <c r="C6" s="86" t="n">
        <v>0</v>
      </c>
      <c r="D6" s="86" t="n">
        <v>0</v>
      </c>
      <c r="E6" s="86" t="n">
        <v>0</v>
      </c>
      <c r="F6" s="86" t="n">
        <v>0</v>
      </c>
      <c r="G6" s="86" t="n">
        <v>0</v>
      </c>
      <c r="H6" s="86" t="n">
        <v>0</v>
      </c>
      <c r="I6" s="86" t="n">
        <v>0</v>
      </c>
      <c r="J6" s="86" t="n">
        <v>0</v>
      </c>
      <c r="K6" s="86" t="n">
        <v>0</v>
      </c>
      <c r="L6" s="86" t="n">
        <v>0</v>
      </c>
    </row>
    <row r="7" ht="14.002500000000003" customHeight="1">
      <c r="A7" s="87" t="s">
        <v>451</v>
      </c>
      <c r="B7" s="86" t="n">
        <v>0</v>
      </c>
      <c r="C7" s="86" t="n">
        <v>0</v>
      </c>
      <c r="D7" s="86" t="n">
        <v>0</v>
      </c>
      <c r="E7" s="86" t="n">
        <v>0</v>
      </c>
      <c r="F7" s="86" t="n">
        <v>0</v>
      </c>
      <c r="G7" s="86" t="n">
        <v>0</v>
      </c>
      <c r="H7" s="86" t="n">
        <v>0</v>
      </c>
      <c r="I7" s="86" t="n">
        <v>0</v>
      </c>
      <c r="J7" s="86" t="n">
        <v>0</v>
      </c>
      <c r="K7" s="86" t="n">
        <v>0</v>
      </c>
      <c r="L7" s="86" t="n">
        <v>5000</v>
      </c>
    </row>
    <row r="8" ht="14.002500000000003" customHeight="1">
      <c r="A8" s="87" t="s">
        <v>452</v>
      </c>
      <c r="B8" s="86"/>
      <c r="C8" s="86"/>
      <c r="D8" s="86"/>
      <c r="E8" s="86"/>
      <c r="F8" s="86"/>
      <c r="G8" s="86"/>
      <c r="H8" s="86"/>
      <c r="I8" s="86"/>
      <c r="J8" s="86"/>
      <c r="K8" s="86"/>
      <c r="L8" s="86" t="n">
        <v>2200</v>
      </c>
    </row>
    <row r="9" ht="14.002500000000003" customHeight="1">
      <c r="A9" s="87" t="s">
        <v>453</v>
      </c>
      <c r="B9" s="86"/>
      <c r="C9" s="86"/>
      <c r="D9" s="86"/>
      <c r="E9" s="86"/>
      <c r="F9" s="86"/>
      <c r="G9" s="86"/>
      <c r="H9" s="86"/>
      <c r="I9" s="86"/>
      <c r="J9" s="86"/>
      <c r="K9" s="86"/>
      <c r="L9" s="86" t="n">
        <v>2800</v>
      </c>
    </row>
    <row r="10" ht="14.002500000000003" customHeight="1">
      <c r="A10" s="87" t="s">
        <v>454</v>
      </c>
      <c r="B10" s="86" t="n">
        <v>164.36</v>
      </c>
      <c r="C10" s="86" t="n">
        <v>167.8</v>
      </c>
      <c r="D10" s="86" t="n">
        <v>167.8</v>
      </c>
      <c r="E10" s="86" t="n">
        <v>167.8</v>
      </c>
      <c r="F10" s="86" t="n">
        <v>178.37000000000023</v>
      </c>
      <c r="G10" s="86" t="n">
        <v>193.59</v>
      </c>
      <c r="H10" s="86" t="n">
        <v>199.57</v>
      </c>
      <c r="I10" s="86" t="n">
        <v>199.57</v>
      </c>
      <c r="J10" s="86" t="n">
        <v>199.57</v>
      </c>
      <c r="K10" s="86" t="n">
        <v>2399.57</v>
      </c>
      <c r="L10" s="86" t="n">
        <v>12117.429999999995</v>
      </c>
    </row>
    <row r="11" ht="14.002500000000003" customHeight="1">
      <c r="A11" s="87" t="s">
        <v>455</v>
      </c>
      <c r="B11" s="86" t="n">
        <v>65.36</v>
      </c>
      <c r="C11" s="86" t="n">
        <v>68.8</v>
      </c>
      <c r="D11" s="86" t="n">
        <v>68.8</v>
      </c>
      <c r="E11" s="86" t="n">
        <v>68.80000000000001</v>
      </c>
      <c r="F11" s="86" t="n">
        <v>79.37000000000023</v>
      </c>
      <c r="G11" s="86" t="n">
        <v>94.59</v>
      </c>
      <c r="H11" s="86" t="n">
        <v>100.57</v>
      </c>
      <c r="I11" s="86" t="n">
        <v>100.57</v>
      </c>
      <c r="J11" s="86" t="n">
        <v>100.57</v>
      </c>
      <c r="K11" s="86" t="n">
        <v>100.57000000000001</v>
      </c>
      <c r="L11" s="86" t="n">
        <v>6945.229999999996</v>
      </c>
    </row>
    <row r="12" ht="14.002500000000003" customHeight="1">
      <c r="A12" s="87" t="s">
        <v>456</v>
      </c>
      <c r="B12" s="86"/>
      <c r="C12" s="86"/>
      <c r="D12" s="86"/>
      <c r="E12" s="86"/>
      <c r="F12" s="86"/>
      <c r="G12" s="86"/>
      <c r="H12" s="86"/>
      <c r="I12" s="86"/>
      <c r="J12" s="86"/>
      <c r="K12" s="86"/>
      <c r="L12" s="86" t="n">
        <v>4408.7</v>
      </c>
    </row>
    <row r="13" ht="14.002500000000003" customHeight="1">
      <c r="A13" s="87" t="s">
        <v>457</v>
      </c>
      <c r="B13" s="88" t="n">
        <v>0</v>
      </c>
      <c r="C13" s="88" t="n">
        <v>0</v>
      </c>
      <c r="D13" s="88" t="n">
        <v>0</v>
      </c>
      <c r="E13" s="88" t="n">
        <v>0</v>
      </c>
      <c r="F13" s="88" t="n">
        <v>10.570000000000226</v>
      </c>
      <c r="G13" s="88" t="n">
        <v>25.790000000000003</v>
      </c>
      <c r="H13" s="88" t="n">
        <v>28.01</v>
      </c>
      <c r="I13" s="88" t="n">
        <v>28.01</v>
      </c>
      <c r="J13" s="88" t="n">
        <v>28.01</v>
      </c>
      <c r="K13" s="88" t="n">
        <v>28.01</v>
      </c>
      <c r="L13" s="86" t="n">
        <v>148.40000000000023</v>
      </c>
    </row>
    <row r="14" ht="14.002500000000003" customHeight="1">
      <c r="A14" s="87" t="s">
        <v>355</v>
      </c>
      <c r="B14" s="86" t="n">
        <v>65.36</v>
      </c>
      <c r="C14" s="86" t="n">
        <v>68.8</v>
      </c>
      <c r="D14" s="86" t="n">
        <v>68.8</v>
      </c>
      <c r="E14" s="86" t="n">
        <v>68.80000000000001</v>
      </c>
      <c r="F14" s="86" t="n">
        <v>68.80000000000001</v>
      </c>
      <c r="G14" s="86" t="n">
        <v>68.8</v>
      </c>
      <c r="H14" s="86" t="n">
        <v>72.55999999999999</v>
      </c>
      <c r="I14" s="86" t="n">
        <v>72.55999999999999</v>
      </c>
      <c r="J14" s="86" t="n">
        <v>72.55999999999999</v>
      </c>
      <c r="K14" s="86" t="n">
        <v>72.56</v>
      </c>
      <c r="L14" s="86" t="n">
        <v>2388.129999999999</v>
      </c>
    </row>
    <row r="15" ht="14.002500000000003" customHeight="1">
      <c r="A15" s="87" t="s">
        <v>458</v>
      </c>
      <c r="B15" s="86" t="n">
        <v>99</v>
      </c>
      <c r="C15" s="86" t="n">
        <v>99</v>
      </c>
      <c r="D15" s="86" t="n">
        <v>99</v>
      </c>
      <c r="E15" s="86" t="n">
        <v>99</v>
      </c>
      <c r="F15" s="86" t="n">
        <v>99</v>
      </c>
      <c r="G15" s="86" t="n">
        <v>99</v>
      </c>
      <c r="H15" s="86" t="n">
        <v>99</v>
      </c>
      <c r="I15" s="86" t="n">
        <v>99</v>
      </c>
      <c r="J15" s="86" t="n">
        <v>99</v>
      </c>
      <c r="K15" s="86" t="n">
        <v>2299</v>
      </c>
      <c r="L15" s="86" t="n">
        <v>5172.2</v>
      </c>
    </row>
    <row r="16" ht="14.002500000000003" customHeight="1">
      <c r="A16" s="87" t="s">
        <v>459</v>
      </c>
      <c r="B16" s="86" t="n">
        <v>0</v>
      </c>
      <c r="C16" s="86" t="n">
        <v>0</v>
      </c>
      <c r="D16" s="86" t="n">
        <v>0</v>
      </c>
      <c r="E16" s="86" t="n">
        <v>0</v>
      </c>
      <c r="F16" s="86" t="n">
        <v>0</v>
      </c>
      <c r="G16" s="86" t="n">
        <v>0</v>
      </c>
      <c r="H16" s="86" t="n">
        <v>0</v>
      </c>
      <c r="I16" s="86" t="n">
        <v>0</v>
      </c>
      <c r="J16" s="86" t="n">
        <v>0</v>
      </c>
      <c r="K16" s="86" t="n">
        <v>0</v>
      </c>
      <c r="L16" s="86" t="n">
        <v>2.2</v>
      </c>
    </row>
    <row r="17" ht="14.002500000000003" customHeight="1">
      <c r="A17" s="87" t="s">
        <v>460</v>
      </c>
      <c r="B17" s="86" t="n">
        <v>0</v>
      </c>
      <c r="C17" s="86" t="n">
        <v>0</v>
      </c>
      <c r="D17" s="86" t="n">
        <v>0</v>
      </c>
      <c r="E17" s="86" t="n">
        <v>0</v>
      </c>
      <c r="F17" s="86" t="n">
        <v>0</v>
      </c>
      <c r="G17" s="86" t="n">
        <v>0</v>
      </c>
      <c r="H17" s="86" t="n">
        <v>0</v>
      </c>
      <c r="I17" s="86" t="n">
        <v>0</v>
      </c>
      <c r="J17" s="86" t="n">
        <v>0</v>
      </c>
      <c r="K17" s="86" t="n">
        <v>2200</v>
      </c>
      <c r="L17" s="86" t="n">
        <v>2200</v>
      </c>
    </row>
    <row r="18" ht="14.002500000000003" customHeight="1">
      <c r="A18" s="87" t="s">
        <v>461</v>
      </c>
      <c r="B18" s="86" t="n">
        <v>99</v>
      </c>
      <c r="C18" s="86" t="n">
        <v>99</v>
      </c>
      <c r="D18" s="86" t="n">
        <v>99</v>
      </c>
      <c r="E18" s="86" t="n">
        <v>99</v>
      </c>
      <c r="F18" s="86" t="n">
        <v>99</v>
      </c>
      <c r="G18" s="86" t="n">
        <v>99</v>
      </c>
      <c r="H18" s="86" t="n">
        <v>99</v>
      </c>
      <c r="I18" s="86" t="n">
        <v>99</v>
      </c>
      <c r="J18" s="86" t="n">
        <v>99</v>
      </c>
      <c r="K18" s="86" t="n">
        <v>99</v>
      </c>
      <c r="L18" s="86" t="n">
        <v>2970</v>
      </c>
    </row>
    <row r="19" ht="14.002500000000003" customHeight="1">
      <c r="A19" s="87" t="s">
        <v>462</v>
      </c>
      <c r="B19" s="86" t="n">
        <v>3289.8900000000003</v>
      </c>
      <c r="C19" s="86" t="n">
        <v>3519.6500000000005</v>
      </c>
      <c r="D19" s="86" t="n">
        <v>3777.0900000000006</v>
      </c>
      <c r="E19" s="86" t="n">
        <v>4034.5300000000007</v>
      </c>
      <c r="F19" s="86" t="n">
        <v>4291.97</v>
      </c>
      <c r="G19" s="86" t="n">
        <v>4538.84</v>
      </c>
      <c r="H19" s="86" t="n">
        <v>4770.49</v>
      </c>
      <c r="I19" s="86" t="n">
        <v>5030.57</v>
      </c>
      <c r="J19" s="86" t="n">
        <v>5290.65</v>
      </c>
      <c r="K19" s="86" t="n">
        <v>5550.73</v>
      </c>
      <c r="L19" s="86"/>
    </row>
    <row r="20" ht="14.002500000000003" customHeight="1">
      <c r="A20" s="87" t="s">
        <v>463</v>
      </c>
      <c r="B20" s="86" t="n">
        <v>229.76</v>
      </c>
      <c r="C20" s="86" t="n">
        <v>257.44</v>
      </c>
      <c r="D20" s="86" t="n">
        <v>257.44</v>
      </c>
      <c r="E20" s="86" t="n">
        <v>257.44</v>
      </c>
      <c r="F20" s="86" t="n">
        <v>246.86999999999978</v>
      </c>
      <c r="G20" s="86" t="n">
        <v>231.65</v>
      </c>
      <c r="H20" s="86" t="n">
        <v>260.08</v>
      </c>
      <c r="I20" s="86" t="n">
        <v>260.08</v>
      </c>
      <c r="J20" s="86" t="n">
        <v>260.08</v>
      </c>
      <c r="K20" s="86" t="n">
        <v>-1939.92</v>
      </c>
      <c r="L20" s="86" t="n">
        <v>3610.8099999999995</v>
      </c>
    </row>
    <row r="21" ht="14.002500000000003" customHeight="1">
      <c r="A21" s="87" t="s">
        <v>464</v>
      </c>
      <c r="B21" s="86" t="n">
        <v>3519.6500000000005</v>
      </c>
      <c r="C21" s="86" t="n">
        <v>3777.0900000000006</v>
      </c>
      <c r="D21" s="86" t="n">
        <v>4034.5300000000007</v>
      </c>
      <c r="E21" s="86" t="n">
        <v>4291.97</v>
      </c>
      <c r="F21" s="86" t="n">
        <v>4538.84</v>
      </c>
      <c r="G21" s="86" t="n">
        <v>4770.49</v>
      </c>
      <c r="H21" s="86" t="n">
        <v>5030.57</v>
      </c>
      <c r="I21" s="86" t="n">
        <v>5290.65</v>
      </c>
      <c r="J21" s="86" t="n">
        <v>5550.73</v>
      </c>
      <c r="K21" s="86" t="n">
        <v>3610.8099999999995</v>
      </c>
      <c r="L21" s="86" t="n">
        <v>3610.8099999999995</v>
      </c>
    </row>
  </sheetData>
  <phoneticPr fontId="1" type="noConversion"/>
  <conditionalFormatting sqref="B21:K21">
    <cfRule priority="11" type="cellIs" operator="lessThan" dxfId="5">
      <formula>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4.002500000000003" customHeight="1"/>
  <cols>
    <col min="1" max="1" width="22.166015625" customWidth="1" style="548"/>
    <col min="2" max="11" width="10.3330078125" customWidth="1" style="548"/>
  </cols>
  <sheetData>
    <row r="1" ht="14.002500000000003" customHeight="1">
      <c r="A1" s="85" t="s">
        <v>263</v>
      </c>
      <c r="B1" s="86" t="s">
        <v>434</v>
      </c>
      <c r="C1" s="86" t="s">
        <v>435</v>
      </c>
      <c r="D1" s="86" t="s">
        <v>436</v>
      </c>
      <c r="E1" s="86" t="s">
        <v>437</v>
      </c>
      <c r="F1" s="86" t="s">
        <v>438</v>
      </c>
      <c r="G1" s="86" t="s">
        <v>439</v>
      </c>
      <c r="H1" s="86" t="s">
        <v>440</v>
      </c>
      <c r="I1" s="86" t="s">
        <v>441</v>
      </c>
      <c r="J1" s="86" t="s">
        <v>442</v>
      </c>
      <c r="K1" s="86" t="s">
        <v>443</v>
      </c>
      <c r="L1" s="548" t="s">
        <v>444</v>
      </c>
      <c r="M1" s="548" t="s">
        <v>445</v>
      </c>
      <c r="N1" s="548" t="s">
        <v>446</v>
      </c>
      <c r="O1" s="548" t="s">
        <v>195</v>
      </c>
    </row>
    <row r="2" ht="14.002500000000003" customHeight="1">
      <c r="A2" s="87" t="s">
        <v>447</v>
      </c>
      <c r="B2" s="86" t="n">
        <v>394.12</v>
      </c>
      <c r="C2" s="86" t="n">
        <v>425.24</v>
      </c>
      <c r="D2" s="86" t="n">
        <v>425.24</v>
      </c>
      <c r="E2" s="86" t="n">
        <v>425.24</v>
      </c>
      <c r="F2" s="86" t="n">
        <v>425.24</v>
      </c>
      <c r="G2" s="86" t="n">
        <v>425.24</v>
      </c>
      <c r="H2" s="86" t="n">
        <v>459.65</v>
      </c>
      <c r="I2" s="86" t="n">
        <v>459.65</v>
      </c>
      <c r="J2" s="86" t="n">
        <v>459.65</v>
      </c>
      <c r="K2" s="86" t="n">
        <v>459.65</v>
      </c>
      <c r="L2" s="548" t="n">
        <v>0</v>
      </c>
      <c r="M2" s="548" t="e">
        <v>#N/A</v>
      </c>
      <c r="N2" s="548" t="e">
        <v>#N/A</v>
      </c>
      <c r="O2" s="548" t="n">
        <v>15728.240000000005</v>
      </c>
    </row>
    <row r="3" ht="14.002500000000003" customHeight="1">
      <c r="A3" s="87" t="s">
        <v>448</v>
      </c>
      <c r="B3" s="86" t="n">
        <v>394.12</v>
      </c>
      <c r="C3" s="86" t="n">
        <v>425.24</v>
      </c>
      <c r="D3" s="86" t="n">
        <v>425.24</v>
      </c>
      <c r="E3" s="86" t="n">
        <v>425.24</v>
      </c>
      <c r="F3" s="86" t="n">
        <v>425.24</v>
      </c>
      <c r="G3" s="86" t="n">
        <v>425.24</v>
      </c>
      <c r="H3" s="86" t="n">
        <v>459.65</v>
      </c>
      <c r="I3" s="86" t="n">
        <v>459.65</v>
      </c>
      <c r="J3" s="86" t="n">
        <v>459.65</v>
      </c>
      <c r="K3" s="86" t="n">
        <v>459.65</v>
      </c>
      <c r="L3" s="548" t="n">
        <v>0</v>
      </c>
      <c r="M3" s="548" t="e">
        <v>#N/A</v>
      </c>
      <c r="N3" s="548" t="e">
        <v>#N/A</v>
      </c>
      <c r="O3" s="548" t="n">
        <v>10728.239999999996</v>
      </c>
    </row>
    <row r="4" ht="14.002500000000003" customHeight="1">
      <c r="A4" s="87" t="s">
        <v>449</v>
      </c>
      <c r="B4" s="86" t="n">
        <v>355.6</v>
      </c>
      <c r="C4" s="86" t="n">
        <v>382.7</v>
      </c>
      <c r="D4" s="86" t="n">
        <v>382.7</v>
      </c>
      <c r="E4" s="86" t="n">
        <v>382.7</v>
      </c>
      <c r="F4" s="86" t="n">
        <v>382.7</v>
      </c>
      <c r="G4" s="86" t="n">
        <v>382.7</v>
      </c>
      <c r="H4" s="86" t="n">
        <v>413.09</v>
      </c>
      <c r="I4" s="86" t="n">
        <v>413.09</v>
      </c>
      <c r="J4" s="86" t="n">
        <v>413.09</v>
      </c>
      <c r="K4" s="86" t="n">
        <v>413.09</v>
      </c>
      <c r="L4" s="548" t="n">
        <v>0</v>
      </c>
      <c r="M4" s="548" t="e">
        <v>#N/A</v>
      </c>
      <c r="N4" s="548" t="e">
        <v>#N/A</v>
      </c>
      <c r="O4" s="548" t="n">
        <v>9688.270000000002</v>
      </c>
    </row>
    <row r="5" ht="14.002500000000003" customHeight="1">
      <c r="A5" s="87" t="s">
        <v>450</v>
      </c>
      <c r="B5" s="86" t="n">
        <v>38.52</v>
      </c>
      <c r="C5" s="86" t="n">
        <v>42.54</v>
      </c>
      <c r="D5" s="86" t="n">
        <v>42.54</v>
      </c>
      <c r="E5" s="86" t="n">
        <v>42.54</v>
      </c>
      <c r="F5" s="86" t="n">
        <v>42.54</v>
      </c>
      <c r="G5" s="86" t="n">
        <v>42.54</v>
      </c>
      <c r="H5" s="86" t="n">
        <v>46.56</v>
      </c>
      <c r="I5" s="86" t="n">
        <v>46.56</v>
      </c>
      <c r="J5" s="86" t="n">
        <v>46.56</v>
      </c>
      <c r="K5" s="86" t="n">
        <v>46.56</v>
      </c>
      <c r="L5" s="548" t="n">
        <v>0</v>
      </c>
      <c r="M5" s="548" t="e">
        <v>#N/A</v>
      </c>
      <c r="N5" s="548" t="e">
        <v>#N/A</v>
      </c>
      <c r="O5" s="548" t="n">
        <v>1039.9699999999996</v>
      </c>
    </row>
    <row r="6" ht="14.002500000000003" customHeight="1">
      <c r="A6" s="87" t="s">
        <v>340</v>
      </c>
      <c r="B6" s="86" t="n">
        <v>0</v>
      </c>
      <c r="C6" s="86" t="n">
        <v>0</v>
      </c>
      <c r="D6" s="86" t="n">
        <v>0</v>
      </c>
      <c r="E6" s="86" t="n">
        <v>0</v>
      </c>
      <c r="F6" s="86" t="n">
        <v>0</v>
      </c>
      <c r="G6" s="86" t="n">
        <v>0</v>
      </c>
      <c r="H6" s="86" t="n">
        <v>0</v>
      </c>
      <c r="I6" s="86" t="n">
        <v>0</v>
      </c>
      <c r="J6" s="86" t="n">
        <v>0</v>
      </c>
      <c r="K6" s="86" t="n">
        <v>0</v>
      </c>
      <c r="L6" s="548" t="n">
        <v>0</v>
      </c>
      <c r="M6" s="548" t="e">
        <v>#N/A</v>
      </c>
      <c r="N6" s="548" t="e">
        <v>#N/A</v>
      </c>
      <c r="O6" s="548" t="n">
        <v>0</v>
      </c>
    </row>
    <row r="7" ht="14.002500000000003" customHeight="1">
      <c r="A7" s="87" t="s">
        <v>451</v>
      </c>
      <c r="B7" s="86"/>
      <c r="C7" s="86"/>
      <c r="D7" s="86"/>
      <c r="E7" s="86"/>
      <c r="F7" s="86"/>
      <c r="G7" s="86"/>
      <c r="H7" s="86"/>
      <c r="I7" s="86"/>
      <c r="J7" s="86"/>
      <c r="K7" s="86"/>
      <c r="O7" s="548" t="n">
        <v>0</v>
      </c>
    </row>
    <row r="8" ht="14.002500000000003" customHeight="1">
      <c r="A8" s="87" t="s">
        <v>452</v>
      </c>
      <c r="B8" s="86"/>
      <c r="C8" s="86"/>
      <c r="D8" s="86"/>
      <c r="E8" s="86"/>
      <c r="F8" s="86"/>
      <c r="G8" s="86"/>
      <c r="H8" s="86"/>
      <c r="I8" s="86"/>
      <c r="J8" s="86"/>
      <c r="K8" s="86"/>
      <c r="O8" s="548" t="n">
        <v>0</v>
      </c>
    </row>
    <row r="9" ht="14.002500000000003" customHeight="1">
      <c r="A9" s="87" t="s">
        <v>453</v>
      </c>
      <c r="B9" s="86"/>
      <c r="C9" s="86"/>
      <c r="D9" s="86"/>
      <c r="E9" s="86"/>
      <c r="F9" s="86"/>
      <c r="G9" s="86"/>
      <c r="H9" s="86"/>
      <c r="I9" s="86"/>
      <c r="J9" s="86"/>
      <c r="K9" s="86"/>
      <c r="O9" s="548" t="n">
        <v>0</v>
      </c>
    </row>
    <row r="10" ht="14.002500000000003" customHeight="1">
      <c r="A10" s="87" t="s">
        <v>454</v>
      </c>
      <c r="B10" s="86"/>
      <c r="C10" s="86"/>
      <c r="D10" s="86"/>
      <c r="E10" s="86"/>
      <c r="F10" s="86"/>
      <c r="G10" s="86"/>
      <c r="H10" s="86"/>
      <c r="I10" s="86"/>
      <c r="J10" s="86"/>
      <c r="K10" s="86"/>
      <c r="O10" s="548" t="n">
        <v>0</v>
      </c>
    </row>
    <row r="11" ht="14.002500000000003" customHeight="1">
      <c r="A11" s="87" t="s">
        <v>455</v>
      </c>
      <c r="B11" s="86" t="n">
        <v>0</v>
      </c>
      <c r="C11" s="86" t="n">
        <v>0</v>
      </c>
      <c r="D11" s="86" t="n">
        <v>0</v>
      </c>
      <c r="E11" s="86" t="n">
        <v>0</v>
      </c>
      <c r="F11" s="86" t="n">
        <v>0</v>
      </c>
      <c r="G11" s="86" t="n">
        <v>0</v>
      </c>
      <c r="H11" s="86" t="n">
        <v>0</v>
      </c>
      <c r="I11" s="86" t="n">
        <v>0</v>
      </c>
      <c r="J11" s="86" t="n">
        <v>0</v>
      </c>
      <c r="K11" s="86" t="n">
        <v>0</v>
      </c>
      <c r="L11" s="548" t="n">
        <v>0</v>
      </c>
      <c r="M11" s="548" t="n">
        <v>0</v>
      </c>
      <c r="N11" s="548" t="n">
        <v>0</v>
      </c>
      <c r="O11" s="548" t="n">
        <v>5000</v>
      </c>
    </row>
    <row r="12" ht="14.002500000000003" customHeight="1">
      <c r="A12" s="87" t="s">
        <v>456</v>
      </c>
      <c r="B12" s="86"/>
      <c r="C12" s="86"/>
      <c r="D12" s="86"/>
      <c r="E12" s="86"/>
      <c r="F12" s="86"/>
      <c r="G12" s="86"/>
      <c r="H12" s="86"/>
      <c r="I12" s="86"/>
      <c r="J12" s="86"/>
      <c r="K12" s="86"/>
      <c r="O12" s="548" t="n">
        <v>2200</v>
      </c>
    </row>
    <row r="13" ht="14.002500000000003" customHeight="1">
      <c r="A13" s="87" t="s">
        <v>457</v>
      </c>
      <c r="B13" s="86"/>
      <c r="C13" s="86"/>
      <c r="D13" s="86"/>
      <c r="E13" s="86"/>
      <c r="F13" s="88"/>
      <c r="G13" s="88"/>
      <c r="H13" s="88"/>
      <c r="I13" s="88"/>
      <c r="J13" s="88"/>
      <c r="K13" s="88"/>
      <c r="O13" s="548" t="n">
        <v>2800</v>
      </c>
    </row>
    <row r="14" ht="14.002500000000003" customHeight="1">
      <c r="A14" s="87" t="s">
        <v>355</v>
      </c>
      <c r="B14" s="86" t="n">
        <v>164.36</v>
      </c>
      <c r="C14" s="86" t="n">
        <v>167.8</v>
      </c>
      <c r="D14" s="86" t="n">
        <v>167.8</v>
      </c>
      <c r="E14" s="86" t="n">
        <v>167.8</v>
      </c>
      <c r="F14" s="86" t="n">
        <v>178.37000000000023</v>
      </c>
      <c r="G14" s="86" t="n">
        <v>193.59</v>
      </c>
      <c r="H14" s="86" t="n">
        <v>199.57</v>
      </c>
      <c r="I14" s="86" t="n">
        <v>199.57</v>
      </c>
      <c r="J14" s="86" t="n">
        <v>199.57</v>
      </c>
      <c r="K14" s="86" t="n">
        <v>2399.57</v>
      </c>
      <c r="L14" s="548" t="n">
        <v>0</v>
      </c>
      <c r="M14" s="548" t="e">
        <v>#N/A</v>
      </c>
      <c r="N14" s="548" t="e">
        <v>#N/A</v>
      </c>
      <c r="O14" s="548" t="n">
        <v>12117.429999999995</v>
      </c>
    </row>
    <row r="15" ht="14.002500000000003" customHeight="1">
      <c r="A15" s="87" t="s">
        <v>458</v>
      </c>
      <c r="B15" s="86" t="n">
        <v>65.36</v>
      </c>
      <c r="C15" s="86" t="n">
        <v>68.8</v>
      </c>
      <c r="D15" s="86" t="n">
        <v>68.8</v>
      </c>
      <c r="E15" s="86" t="n">
        <v>68.80000000000001</v>
      </c>
      <c r="F15" s="86" t="n">
        <v>79.37000000000023</v>
      </c>
      <c r="G15" s="86" t="n">
        <v>94.59</v>
      </c>
      <c r="H15" s="86" t="n">
        <v>100.57</v>
      </c>
      <c r="I15" s="86" t="n">
        <v>100.57</v>
      </c>
      <c r="J15" s="86" t="n">
        <v>100.57</v>
      </c>
      <c r="K15" s="86" t="n">
        <v>100.57000000000001</v>
      </c>
      <c r="L15" s="548" t="n">
        <v>0</v>
      </c>
      <c r="M15" s="548" t="e">
        <v>#N/A</v>
      </c>
      <c r="N15" s="548" t="e">
        <v>#N/A</v>
      </c>
      <c r="O15" s="548" t="n">
        <v>6945.229999999996</v>
      </c>
    </row>
    <row r="16" ht="14.002500000000003" customHeight="1">
      <c r="A16" s="87" t="s">
        <v>459</v>
      </c>
      <c r="B16" s="86"/>
      <c r="C16" s="86"/>
      <c r="D16" s="86"/>
      <c r="E16" s="86"/>
      <c r="F16" s="86"/>
      <c r="G16" s="86"/>
      <c r="H16" s="86"/>
      <c r="I16" s="86"/>
      <c r="J16" s="86"/>
      <c r="K16" s="86"/>
      <c r="O16" s="548" t="n">
        <v>4408.7</v>
      </c>
    </row>
    <row r="17" ht="14.002500000000003" customHeight="1">
      <c r="A17" s="87" t="s">
        <v>460</v>
      </c>
      <c r="B17" s="86" t="n">
        <v>0</v>
      </c>
      <c r="C17" s="86" t="n">
        <v>0</v>
      </c>
      <c r="D17" s="86" t="n">
        <v>0</v>
      </c>
      <c r="E17" s="86" t="n">
        <v>0</v>
      </c>
      <c r="F17" s="86" t="n">
        <v>10.570000000000226</v>
      </c>
      <c r="G17" s="86" t="n">
        <v>25.790000000000003</v>
      </c>
      <c r="H17" s="86" t="n">
        <v>28.01</v>
      </c>
      <c r="I17" s="86" t="n">
        <v>28.01</v>
      </c>
      <c r="J17" s="86" t="n">
        <v>28.01</v>
      </c>
      <c r="K17" s="86" t="n">
        <v>28.01</v>
      </c>
      <c r="L17" s="548" t="n">
        <v>0</v>
      </c>
      <c r="M17" s="548" t="n">
        <v>0</v>
      </c>
      <c r="N17" s="548" t="e">
        <v>#N/A</v>
      </c>
      <c r="O17" s="548" t="n">
        <v>148.40000000000023</v>
      </c>
    </row>
    <row r="18" ht="14.002500000000003" customHeight="1">
      <c r="A18" s="87" t="s">
        <v>461</v>
      </c>
      <c r="B18" s="86" t="n">
        <v>65.36</v>
      </c>
      <c r="C18" s="86" t="n">
        <v>68.8</v>
      </c>
      <c r="D18" s="86" t="n">
        <v>68.8</v>
      </c>
      <c r="E18" s="86" t="n">
        <v>68.80000000000001</v>
      </c>
      <c r="F18" s="86" t="n">
        <v>68.80000000000001</v>
      </c>
      <c r="G18" s="86" t="n">
        <v>68.8</v>
      </c>
      <c r="H18" s="86" t="n">
        <v>72.55999999999999</v>
      </c>
      <c r="I18" s="86" t="n">
        <v>72.55999999999999</v>
      </c>
      <c r="J18" s="86" t="n">
        <v>72.55999999999999</v>
      </c>
      <c r="K18" s="86" t="n">
        <v>72.56</v>
      </c>
      <c r="L18" s="548" t="n">
        <v>0</v>
      </c>
      <c r="M18" s="548" t="e">
        <v>#N/A</v>
      </c>
      <c r="N18" s="548" t="e">
        <v>#N/A</v>
      </c>
      <c r="O18" s="548" t="n">
        <v>2388.129999999999</v>
      </c>
    </row>
    <row r="19" ht="14.002500000000003" customHeight="1">
      <c r="A19" s="87" t="s">
        <v>462</v>
      </c>
      <c r="B19" s="86" t="n">
        <v>99</v>
      </c>
      <c r="C19" s="86" t="n">
        <v>99</v>
      </c>
      <c r="D19" s="86" t="n">
        <v>99</v>
      </c>
      <c r="E19" s="86" t="n">
        <v>99</v>
      </c>
      <c r="F19" s="86" t="n">
        <v>99</v>
      </c>
      <c r="G19" s="86" t="n">
        <v>99</v>
      </c>
      <c r="H19" s="86" t="n">
        <v>99</v>
      </c>
      <c r="I19" s="86" t="n">
        <v>99</v>
      </c>
      <c r="J19" s="86" t="n">
        <v>99</v>
      </c>
      <c r="K19" s="86" t="n">
        <v>2299</v>
      </c>
      <c r="L19" s="548" t="n">
        <v>0</v>
      </c>
      <c r="O19" s="548" t="n">
        <v>5172.2</v>
      </c>
    </row>
    <row r="20" ht="14.002500000000003" customHeight="1">
      <c r="A20" s="87" t="s">
        <v>463</v>
      </c>
      <c r="B20" s="86" t="n">
        <v>0</v>
      </c>
      <c r="C20" s="86" t="n">
        <v>0</v>
      </c>
      <c r="D20" s="86" t="n">
        <v>0</v>
      </c>
      <c r="E20" s="86" t="n">
        <v>0</v>
      </c>
      <c r="F20" s="86" t="n">
        <v>0</v>
      </c>
      <c r="G20" s="86" t="n">
        <v>0</v>
      </c>
      <c r="H20" s="86" t="n">
        <v>0</v>
      </c>
      <c r="I20" s="86" t="n">
        <v>0</v>
      </c>
      <c r="J20" s="86" t="n">
        <v>0</v>
      </c>
      <c r="K20" s="86" t="n">
        <v>0</v>
      </c>
      <c r="L20" s="548" t="n">
        <v>0</v>
      </c>
      <c r="M20" s="548" t="n">
        <v>0</v>
      </c>
      <c r="N20" s="548" t="n">
        <v>0</v>
      </c>
      <c r="O20" s="548" t="n">
        <v>2.2</v>
      </c>
    </row>
    <row r="21" ht="14.002500000000003" customHeight="1">
      <c r="A21" s="87" t="s">
        <v>464</v>
      </c>
      <c r="B21" s="86" t="n">
        <v>0</v>
      </c>
      <c r="C21" s="86" t="n">
        <v>0</v>
      </c>
      <c r="D21" s="86" t="n">
        <v>0</v>
      </c>
      <c r="E21" s="86" t="n">
        <v>0</v>
      </c>
      <c r="F21" s="86" t="n">
        <v>0</v>
      </c>
      <c r="G21" s="86" t="n">
        <v>0</v>
      </c>
      <c r="H21" s="86" t="n">
        <v>0</v>
      </c>
      <c r="I21" s="86" t="n">
        <v>0</v>
      </c>
      <c r="J21" s="86" t="n">
        <v>0</v>
      </c>
      <c r="K21" s="86" t="n">
        <v>2200</v>
      </c>
      <c r="L21" s="548" t="n">
        <v>0</v>
      </c>
      <c r="M21" s="548" t="n">
        <v>0</v>
      </c>
      <c r="N21" s="548" t="n">
        <v>0</v>
      </c>
      <c r="O21" s="548" t="n">
        <v>2200</v>
      </c>
    </row>
    <row r="22" ht="14.002500000000003" customHeight="1">
      <c r="B22" s="548" t="n">
        <v>99</v>
      </c>
      <c r="C22" s="548" t="n">
        <v>99</v>
      </c>
      <c r="D22" s="548" t="n">
        <v>99</v>
      </c>
      <c r="E22" s="548" t="n">
        <v>99</v>
      </c>
      <c r="F22" s="548" t="n">
        <v>99</v>
      </c>
      <c r="G22" s="548" t="n">
        <v>99</v>
      </c>
      <c r="H22" s="548" t="n">
        <v>99</v>
      </c>
      <c r="I22" s="548" t="n">
        <v>99</v>
      </c>
      <c r="J22" s="548" t="n">
        <v>99</v>
      </c>
      <c r="K22" s="548" t="n">
        <v>99</v>
      </c>
      <c r="L22" s="548" t="n">
        <v>0</v>
      </c>
      <c r="M22" s="548" t="n">
        <v>0</v>
      </c>
      <c r="N22" s="548" t="n">
        <v>0</v>
      </c>
      <c r="O22" s="548" t="n">
        <v>2970</v>
      </c>
    </row>
    <row r="23" ht="14.002500000000003" customHeight="1">
      <c r="B23" s="548" t="n">
        <v>3289.8900000000003</v>
      </c>
      <c r="C23" s="548" t="n">
        <v>3519.6500000000005</v>
      </c>
      <c r="D23" s="548" t="n">
        <v>3777.0900000000006</v>
      </c>
      <c r="E23" s="548" t="n">
        <v>4034.5300000000007</v>
      </c>
      <c r="F23" s="548" t="n">
        <v>4291.97</v>
      </c>
      <c r="G23" s="548" t="n">
        <v>4538.84</v>
      </c>
      <c r="H23" s="548" t="n">
        <v>4770.49</v>
      </c>
      <c r="I23" s="548" t="n">
        <v>5030.57</v>
      </c>
      <c r="J23" s="548" t="n">
        <v>5290.65</v>
      </c>
      <c r="K23" s="548" t="n">
        <v>5550.73</v>
      </c>
      <c r="L23" s="548" t="n">
        <v>3610.8099999999995</v>
      </c>
      <c r="M23" s="548" t="n">
        <v>3610.8099999999995</v>
      </c>
      <c r="N23" s="548" t="e">
        <v>#N/A</v>
      </c>
    </row>
    <row r="24" ht="14.002500000000003" customHeight="1">
      <c r="B24" s="548" t="n">
        <v>229.76</v>
      </c>
      <c r="C24" s="548" t="n">
        <v>257.44</v>
      </c>
      <c r="D24" s="548" t="n">
        <v>257.44</v>
      </c>
      <c r="E24" s="548" t="n">
        <v>257.44</v>
      </c>
      <c r="F24" s="548" t="n">
        <v>246.86999999999978</v>
      </c>
      <c r="G24" s="548" t="n">
        <v>231.65</v>
      </c>
      <c r="H24" s="548" t="n">
        <v>260.08</v>
      </c>
      <c r="I24" s="548" t="n">
        <v>260.08</v>
      </c>
      <c r="J24" s="548" t="n">
        <v>260.08</v>
      </c>
      <c r="K24" s="548" t="n">
        <v>-1939.92</v>
      </c>
      <c r="L24" s="548" t="n">
        <v>0</v>
      </c>
      <c r="M24" s="548" t="e">
        <v>#N/A</v>
      </c>
      <c r="N24" s="548" t="e">
        <v>#N/A</v>
      </c>
      <c r="O24" s="548" t="n">
        <v>3610.8099999999995</v>
      </c>
    </row>
    <row r="25" ht="14.002500000000003" customHeight="1">
      <c r="B25" s="548" t="n">
        <v>3519.6500000000005</v>
      </c>
      <c r="C25" s="548" t="n">
        <v>3777.0900000000006</v>
      </c>
      <c r="D25" s="548" t="n">
        <v>4034.5300000000007</v>
      </c>
      <c r="E25" s="548" t="n">
        <v>4291.97</v>
      </c>
      <c r="F25" s="548" t="n">
        <v>4538.84</v>
      </c>
      <c r="G25" s="548" t="n">
        <v>4770.49</v>
      </c>
      <c r="H25" s="548" t="n">
        <v>5030.57</v>
      </c>
      <c r="I25" s="548" t="n">
        <v>5290.65</v>
      </c>
      <c r="J25" s="548" t="n">
        <v>5550.73</v>
      </c>
      <c r="K25" s="548" t="n">
        <v>3610.8099999999995</v>
      </c>
      <c r="L25" s="548" t="n">
        <v>3610.8099999999995</v>
      </c>
      <c r="M25" s="548" t="e">
        <v>#N/A</v>
      </c>
      <c r="N25" s="548" t="e">
        <v>#N/A</v>
      </c>
      <c r="O25" s="548" t="n">
        <v>3610.8099999999995</v>
      </c>
    </row>
  </sheetData>
  <phoneticPr fontId="1" type="noConversion"/>
  <conditionalFormatting sqref="B21:K21">
    <cfRule priority="11" type="cellIs" operator="lessThan" dxfId="5">
      <formula>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1" max="1" width="8.8330078125" style="70"/>
    <col min="2" max="2" width="18.9990234375" customWidth="1" style="70"/>
    <col min="3" max="40" width="8.8330078125" style="70"/>
  </cols>
  <sheetData>
    <row r="1" ht="14.002500000000003" customHeight="1">
      <c r="A1" s="466" t="s">
        <v>5</v>
      </c>
      <c r="B1" s="466" t="s">
        <v>465</v>
      </c>
      <c r="C1" s="71" t="s">
        <v>466</v>
      </c>
      <c r="D1" s="468" t="s">
        <v>467</v>
      </c>
      <c r="E1" s="466" t="s">
        <v>468</v>
      </c>
      <c r="F1" s="466"/>
      <c r="G1" s="466"/>
      <c r="H1" s="466"/>
      <c r="I1" s="466"/>
      <c r="J1" s="466"/>
      <c r="K1" s="466"/>
      <c r="L1" s="466"/>
      <c r="M1" s="466"/>
      <c r="N1" s="466"/>
      <c r="O1" s="466"/>
      <c r="P1" s="466"/>
      <c r="Q1" s="466"/>
    </row>
    <row r="2" ht="14.002500000000003" customHeight="1">
      <c r="A2" s="467"/>
      <c r="B2" s="467"/>
      <c r="C2" s="73" t="s">
        <v>469</v>
      </c>
      <c r="D2" s="469"/>
      <c r="E2" s="72" t="n">
        <v>4</v>
      </c>
      <c r="F2" s="72" t="n">
        <f>E2+1</f>
        <v>5</v>
      </c>
      <c r="G2" s="72" t="n">
        <f>F2+1</f>
        <v>6</v>
      </c>
      <c r="H2" s="72" t="n">
        <f>G2+1</f>
        <v>7</v>
      </c>
      <c r="I2" s="72" t="n">
        <f>H2+1</f>
        <v>8</v>
      </c>
      <c r="J2" s="72" t="n">
        <f>I2+1</f>
        <v>9</v>
      </c>
      <c r="K2" s="72" t="n">
        <f>J2+1</f>
        <v>10</v>
      </c>
      <c r="L2" s="72" t="n">
        <f>K2+1</f>
        <v>11</v>
      </c>
      <c r="M2" s="72" t="n">
        <f>L2+1</f>
        <v>12</v>
      </c>
      <c r="N2" s="72" t="n">
        <f>M2+1</f>
        <v>13</v>
      </c>
      <c r="O2" s="72" t="n">
        <f>N2+1</f>
        <v>14</v>
      </c>
      <c r="P2" s="72" t="n">
        <f>O2+1</f>
        <v>15</v>
      </c>
      <c r="Q2" s="72" t="n">
        <f>P2+1</f>
        <v>16</v>
      </c>
    </row>
    <row r="3" ht="14.002500000000003" customHeight="1">
      <c r="A3" s="74" t="n">
        <v>1</v>
      </c>
      <c r="B3" s="75" t="s">
        <v>470</v>
      </c>
      <c r="C3" s="76" t="n">
        <v>30</v>
      </c>
      <c r="D3" s="77"/>
      <c r="E3" s="77"/>
      <c r="F3" s="77"/>
      <c r="G3" s="77"/>
      <c r="H3" s="77"/>
      <c r="I3" s="77"/>
      <c r="J3" s="77"/>
      <c r="K3" s="77"/>
      <c r="L3" s="77"/>
      <c r="M3" s="77"/>
      <c r="N3" s="77"/>
      <c r="O3" s="77"/>
      <c r="P3" s="77"/>
      <c r="Q3" s="77"/>
    </row>
    <row r="4" ht="14.002500000000003" customHeight="1">
      <c r="A4" s="74" t="n">
        <v>1.1</v>
      </c>
      <c r="B4" s="75" t="s">
        <v>471</v>
      </c>
      <c r="C4" s="78"/>
      <c r="D4" s="79"/>
      <c r="E4" s="77" t="n">
        <f>ROUND(('税费计算'!V4+'税费计算'!V7+'税费计算'!V8)*0.95,2)</f>
        <v>3385.31</v>
      </c>
      <c r="F4" s="77"/>
      <c r="G4" s="77"/>
      <c r="H4" s="77"/>
      <c r="I4" s="77"/>
      <c r="J4" s="77"/>
      <c r="K4" s="77"/>
      <c r="L4" s="77"/>
      <c r="M4" s="77"/>
      <c r="N4" s="77"/>
      <c r="O4" s="77"/>
      <c r="P4" s="77"/>
      <c r="Q4" s="77"/>
    </row>
    <row r="5" ht="14.002500000000003" customHeight="1">
      <c r="A5" s="74" t="n">
        <v>1.2</v>
      </c>
      <c r="B5" s="75" t="s">
        <v>472</v>
      </c>
      <c r="C5" s="78"/>
      <c r="D5" s="79"/>
      <c r="E5" s="77" t="n">
        <f>ROUND($E$4/$C$3,2)</f>
        <v>112.84</v>
      </c>
      <c r="F5" s="77" t="n">
        <f>E5</f>
        <v>112.84</v>
      </c>
      <c r="G5" s="77" t="n">
        <f>F5</f>
        <v>112.84</v>
      </c>
      <c r="H5" s="77" t="n">
        <f>G5</f>
        <v>112.84</v>
      </c>
      <c r="I5" s="77" t="n">
        <f>H5</f>
        <v>112.84</v>
      </c>
      <c r="J5" s="77" t="n">
        <f>I5</f>
        <v>112.84</v>
      </c>
      <c r="K5" s="77" t="n">
        <f>J5</f>
        <v>112.84</v>
      </c>
      <c r="L5" s="77" t="n">
        <f>K5</f>
        <v>112.84</v>
      </c>
      <c r="M5" s="77" t="n">
        <f>L5</f>
        <v>112.84</v>
      </c>
      <c r="N5" s="77" t="n">
        <f>M5</f>
        <v>112.84</v>
      </c>
      <c r="O5" s="77" t="n">
        <f>N5</f>
        <v>112.84</v>
      </c>
      <c r="P5" s="77" t="n">
        <f>O5</f>
        <v>112.84</v>
      </c>
      <c r="Q5" s="77" t="n">
        <f>P5</f>
        <v>112.84</v>
      </c>
    </row>
    <row r="6" ht="14.002500000000003" customHeight="1">
      <c r="A6" s="74" t="n">
        <v>1.3</v>
      </c>
      <c r="B6" s="75" t="s">
        <v>473</v>
      </c>
      <c r="C6" s="78"/>
      <c r="D6" s="79"/>
      <c r="E6" s="77" t="n">
        <f>E4-E5</f>
        <v>3272.47</v>
      </c>
      <c r="F6" s="77" t="n">
        <f>E6-F5</f>
        <v>3159.63</v>
      </c>
      <c r="G6" s="77" t="n">
        <f>F6-G5</f>
        <v>3046.79</v>
      </c>
      <c r="H6" s="77" t="n">
        <f>G6-H5</f>
        <v>2933.95</v>
      </c>
      <c r="I6" s="77" t="n">
        <f>H6-I5</f>
        <v>2821.11</v>
      </c>
      <c r="J6" s="77" t="n">
        <f>I6-J5</f>
        <v>2708.27</v>
      </c>
      <c r="K6" s="77" t="n">
        <f>J6-K5</f>
        <v>2595.43</v>
      </c>
      <c r="L6" s="77" t="n">
        <f>K6-L5</f>
        <v>2482.59</v>
      </c>
      <c r="M6" s="77" t="n">
        <f>L6-M5</f>
        <v>2369.75</v>
      </c>
      <c r="N6" s="77" t="n">
        <f>M6-N5</f>
        <v>2256.91</v>
      </c>
      <c r="O6" s="77" t="n">
        <f>N6-O5</f>
        <v>2144.07</v>
      </c>
      <c r="P6" s="77" t="n">
        <f>O6-P5</f>
        <v>2031.23</v>
      </c>
      <c r="Q6" s="77" t="n">
        <f>P6-Q5</f>
        <v>1918.39</v>
      </c>
    </row>
    <row r="7" ht="14.002500000000003" customHeight="1">
      <c r="A7" s="74" t="n">
        <v>2</v>
      </c>
      <c r="B7" s="75" t="s">
        <v>474</v>
      </c>
      <c r="C7" s="76" t="n">
        <v>15</v>
      </c>
      <c r="D7" s="79"/>
      <c r="E7" s="77"/>
      <c r="F7" s="77"/>
      <c r="G7" s="77"/>
      <c r="H7" s="77"/>
      <c r="I7" s="77"/>
      <c r="J7" s="77"/>
      <c r="K7" s="77"/>
      <c r="L7" s="77"/>
      <c r="M7" s="77"/>
      <c r="N7" s="77"/>
      <c r="O7" s="77"/>
      <c r="P7" s="77"/>
      <c r="Q7" s="77"/>
    </row>
    <row r="8" ht="14.002500000000003" customHeight="1">
      <c r="A8" s="74" t="n">
        <v>2.1</v>
      </c>
      <c r="B8" s="75" t="s">
        <v>471</v>
      </c>
      <c r="C8" s="78"/>
      <c r="D8" s="79"/>
      <c r="E8" s="77" t="n">
        <f>ROUND('税费计算'!V5,2)</f>
        <v>499.91</v>
      </c>
      <c r="F8" s="77"/>
      <c r="G8" s="77"/>
      <c r="H8" s="77"/>
      <c r="I8" s="77"/>
      <c r="J8" s="77"/>
      <c r="K8" s="77"/>
      <c r="L8" s="77"/>
      <c r="M8" s="77"/>
      <c r="N8" s="77"/>
      <c r="O8" s="77"/>
      <c r="P8" s="77"/>
      <c r="Q8" s="77"/>
    </row>
    <row r="9" ht="14.002500000000003" customHeight="1">
      <c r="A9" s="74" t="n">
        <v>2.2</v>
      </c>
      <c r="B9" s="75" t="s">
        <v>472</v>
      </c>
      <c r="C9" s="78"/>
      <c r="D9" s="79"/>
      <c r="E9" s="77" t="n">
        <f>ROUND($E$8/$C$7,2)</f>
        <v>33.33</v>
      </c>
      <c r="F9" s="77" t="n">
        <f>E9</f>
        <v>33.33</v>
      </c>
      <c r="G9" s="77" t="n">
        <f>F9</f>
        <v>33.33</v>
      </c>
      <c r="H9" s="77" t="n">
        <f>G9</f>
        <v>33.33</v>
      </c>
      <c r="I9" s="77" t="n">
        <f>H9</f>
        <v>33.33</v>
      </c>
      <c r="J9" s="77" t="n">
        <f>I9</f>
        <v>33.33</v>
      </c>
      <c r="K9" s="77" t="n">
        <f>J9</f>
        <v>33.33</v>
      </c>
      <c r="L9" s="77" t="n">
        <f>K9</f>
        <v>33.33</v>
      </c>
      <c r="M9" s="77" t="n">
        <f>L9</f>
        <v>33.33</v>
      </c>
      <c r="N9" s="77" t="n">
        <f>M9</f>
        <v>33.33</v>
      </c>
      <c r="O9" s="77" t="n">
        <f>N9</f>
        <v>33.33</v>
      </c>
      <c r="P9" s="77" t="n">
        <f>O9</f>
        <v>33.33</v>
      </c>
      <c r="Q9" s="77" t="n">
        <f>P9</f>
        <v>33.33</v>
      </c>
    </row>
    <row r="10" ht="14.002500000000003" customHeight="1">
      <c r="A10" s="74" t="n">
        <v>2.3</v>
      </c>
      <c r="B10" s="75" t="s">
        <v>473</v>
      </c>
      <c r="C10" s="78"/>
      <c r="D10" s="79"/>
      <c r="E10" s="77" t="n">
        <f>E8-E9</f>
        <v>466.58</v>
      </c>
      <c r="F10" s="77" t="n">
        <f>E10-F9</f>
        <v>433.25</v>
      </c>
      <c r="G10" s="77" t="n">
        <f>F10-G9</f>
        <v>399.92</v>
      </c>
      <c r="H10" s="77" t="n">
        <f>G10-H9</f>
        <v>366.59</v>
      </c>
      <c r="I10" s="77" t="n">
        <f>H10-I9</f>
        <v>333.26</v>
      </c>
      <c r="J10" s="77" t="n">
        <f>I10-J9</f>
        <v>299.93</v>
      </c>
      <c r="K10" s="77" t="n">
        <f>J10-K9</f>
        <v>266.6</v>
      </c>
      <c r="L10" s="77" t="n">
        <f>K10-L9</f>
        <v>233.27</v>
      </c>
      <c r="M10" s="77" t="n">
        <f>L10-M9</f>
        <v>199.94</v>
      </c>
      <c r="N10" s="77" t="n">
        <f>M10-N9</f>
        <v>166.61</v>
      </c>
      <c r="O10" s="77" t="n">
        <f>N10-O9</f>
        <v>133.28</v>
      </c>
      <c r="P10" s="77" t="n">
        <f>O10-P9</f>
        <v>99.95</v>
      </c>
      <c r="Q10" s="77" t="n">
        <f>P10-Q9</f>
        <v>66.62</v>
      </c>
    </row>
    <row r="11" ht="14.002500000000003" customHeight="1">
      <c r="A11" s="74" t="n">
        <v>3</v>
      </c>
      <c r="B11" s="80" t="s">
        <v>475</v>
      </c>
      <c r="C11" s="76" t="n">
        <v>20</v>
      </c>
      <c r="D11" s="79"/>
      <c r="E11" s="77"/>
      <c r="F11" s="77"/>
      <c r="G11" s="77"/>
      <c r="H11" s="77"/>
      <c r="I11" s="77"/>
      <c r="J11" s="77"/>
      <c r="K11" s="77"/>
      <c r="L11" s="77"/>
      <c r="M11" s="77"/>
      <c r="N11" s="77"/>
      <c r="O11" s="77"/>
      <c r="P11" s="77"/>
      <c r="Q11" s="77"/>
    </row>
    <row r="12" ht="14.002500000000003" customHeight="1">
      <c r="A12" s="74" t="n">
        <v>3.1</v>
      </c>
      <c r="B12" s="80" t="s">
        <v>471</v>
      </c>
      <c r="C12" s="77"/>
      <c r="D12" s="79"/>
      <c r="E12" s="77" t="n">
        <f>ROUND('税费计算'!V6,2)</f>
        <v>528.13</v>
      </c>
      <c r="F12" s="77"/>
      <c r="G12" s="77"/>
      <c r="H12" s="77"/>
      <c r="I12" s="77"/>
      <c r="J12" s="77"/>
      <c r="K12" s="77"/>
      <c r="L12" s="77"/>
      <c r="M12" s="77"/>
      <c r="N12" s="77"/>
      <c r="O12" s="77"/>
      <c r="P12" s="77"/>
      <c r="Q12" s="77"/>
    </row>
    <row r="13" ht="14.002500000000003" customHeight="1">
      <c r="A13" s="74" t="n">
        <v>3.2</v>
      </c>
      <c r="B13" s="80" t="s">
        <v>472</v>
      </c>
      <c r="C13" s="77"/>
      <c r="D13" s="79"/>
      <c r="E13" s="77" t="n">
        <f>ROUND(E12/$C$11,2)</f>
        <v>26.41</v>
      </c>
      <c r="F13" s="77" t="n">
        <f>E13</f>
        <v>26.41</v>
      </c>
      <c r="G13" s="77" t="n">
        <f>F13</f>
        <v>26.41</v>
      </c>
      <c r="H13" s="77" t="n">
        <f>G13</f>
        <v>26.41</v>
      </c>
      <c r="I13" s="77" t="n">
        <f>H13</f>
        <v>26.41</v>
      </c>
      <c r="J13" s="77" t="n">
        <f>I13</f>
        <v>26.41</v>
      </c>
      <c r="K13" s="77" t="n">
        <f>J13</f>
        <v>26.41</v>
      </c>
      <c r="L13" s="77" t="n">
        <f>K13</f>
        <v>26.41</v>
      </c>
      <c r="M13" s="77" t="n">
        <f>L13</f>
        <v>26.41</v>
      </c>
      <c r="N13" s="77" t="n">
        <f>M13</f>
        <v>26.41</v>
      </c>
      <c r="O13" s="77" t="n">
        <f>N13</f>
        <v>26.41</v>
      </c>
      <c r="P13" s="77" t="n">
        <f>O13</f>
        <v>26.41</v>
      </c>
      <c r="Q13" s="77" t="n">
        <f>P13</f>
        <v>26.41</v>
      </c>
    </row>
    <row r="14" ht="14.002500000000003" customHeight="1">
      <c r="A14" s="74" t="n">
        <v>3.3</v>
      </c>
      <c r="B14" s="80" t="s">
        <v>473</v>
      </c>
      <c r="C14" s="77"/>
      <c r="D14" s="79"/>
      <c r="E14" s="77" t="n">
        <f>E12-E13</f>
        <v>501.72</v>
      </c>
      <c r="F14" s="77" t="n">
        <f>E14-F13</f>
        <v>475.31</v>
      </c>
      <c r="G14" s="77" t="n">
        <f>F14-G13</f>
        <v>448.9</v>
      </c>
      <c r="H14" s="77" t="n">
        <f>G14-H13</f>
        <v>422.49</v>
      </c>
      <c r="I14" s="77" t="n">
        <f>H14-I13</f>
        <v>396.08</v>
      </c>
      <c r="J14" s="77" t="n">
        <f>I14-J13</f>
        <v>369.67</v>
      </c>
      <c r="K14" s="77" t="n">
        <f>J14-K13</f>
        <v>343.26</v>
      </c>
      <c r="L14" s="77" t="n">
        <f>K14-L13</f>
        <v>316.85</v>
      </c>
      <c r="M14" s="77" t="n">
        <f>L14-M13</f>
        <v>290.44</v>
      </c>
      <c r="N14" s="77" t="n">
        <f>M14-N13</f>
        <v>264.03</v>
      </c>
      <c r="O14" s="77" t="n">
        <f>N14-O13</f>
        <v>237.62</v>
      </c>
      <c r="P14" s="77" t="n">
        <f>O14-P13</f>
        <v>211.21</v>
      </c>
      <c r="Q14" s="77" t="n">
        <f>P14-Q13</f>
        <v>184.8</v>
      </c>
    </row>
    <row r="15" ht="14.002500000000003" customHeight="1">
      <c r="A15" s="74" t="n">
        <v>4</v>
      </c>
      <c r="B15" s="80" t="s">
        <v>476</v>
      </c>
      <c r="C15" s="77"/>
      <c r="D15" s="79"/>
      <c r="E15" s="77"/>
      <c r="F15" s="77"/>
      <c r="G15" s="77"/>
      <c r="H15" s="77"/>
      <c r="I15" s="77"/>
      <c r="J15" s="77"/>
      <c r="K15" s="77"/>
      <c r="L15" s="77"/>
      <c r="M15" s="77"/>
      <c r="N15" s="77"/>
      <c r="O15" s="77"/>
      <c r="P15" s="77"/>
      <c r="Q15" s="77"/>
    </row>
    <row r="16" ht="14.002500000000003" customHeight="1">
      <c r="A16" s="74" t="n">
        <v>4.1</v>
      </c>
      <c r="B16" s="75" t="s">
        <v>471</v>
      </c>
      <c r="C16" s="77"/>
      <c r="D16" s="79"/>
      <c r="E16" s="77" t="n">
        <f>E4+E8+E12</f>
        <v>4413.35</v>
      </c>
      <c r="F16" s="77"/>
      <c r="G16" s="77"/>
      <c r="H16" s="77"/>
      <c r="I16" s="77"/>
      <c r="J16" s="77"/>
      <c r="K16" s="77"/>
      <c r="L16" s="77"/>
      <c r="M16" s="77"/>
      <c r="N16" s="77"/>
      <c r="O16" s="77"/>
      <c r="P16" s="77"/>
      <c r="Q16" s="77"/>
    </row>
    <row r="17" ht="14.002500000000003" customHeight="1">
      <c r="A17" s="74" t="n">
        <v>4.2</v>
      </c>
      <c r="B17" s="75" t="s">
        <v>472</v>
      </c>
      <c r="C17" s="77"/>
      <c r="D17" s="79"/>
      <c r="E17" s="77" t="n">
        <f>E5+E9+E13</f>
        <v>172.58</v>
      </c>
      <c r="F17" s="77" t="n">
        <f>F5+F9+F13</f>
        <v>172.58</v>
      </c>
      <c r="G17" s="77" t="n">
        <f>G5+G9+G13</f>
        <v>172.58</v>
      </c>
      <c r="H17" s="77" t="n">
        <f>H5+H9+H13</f>
        <v>172.58</v>
      </c>
      <c r="I17" s="77" t="n">
        <f>I5+I9+I13</f>
        <v>172.58</v>
      </c>
      <c r="J17" s="77" t="n">
        <f>J5+J9+J13</f>
        <v>172.58</v>
      </c>
      <c r="K17" s="77" t="n">
        <f>K5+K9+K13</f>
        <v>172.58</v>
      </c>
      <c r="L17" s="77" t="n">
        <f>L5+L9+L13</f>
        <v>172.58</v>
      </c>
      <c r="M17" s="77" t="n">
        <f>M5+M9+M13</f>
        <v>172.58</v>
      </c>
      <c r="N17" s="77" t="n">
        <f>N5+N9+N13</f>
        <v>172.58</v>
      </c>
      <c r="O17" s="77" t="n">
        <f>O5+O9+O13</f>
        <v>172.58</v>
      </c>
      <c r="P17" s="77" t="n">
        <f>P5+P9+P13</f>
        <v>172.58</v>
      </c>
      <c r="Q17" s="77" t="n">
        <f>Q5+Q9+Q13</f>
        <v>172.58</v>
      </c>
    </row>
    <row r="18" ht="14.002500000000003" customHeight="1">
      <c r="A18" s="74" t="n">
        <v>4.3</v>
      </c>
      <c r="B18" s="75" t="s">
        <v>473</v>
      </c>
      <c r="C18" s="77"/>
      <c r="D18" s="79"/>
      <c r="E18" s="77" t="n">
        <f>E6+E10+E14</f>
        <v>4240.77</v>
      </c>
      <c r="F18" s="77" t="n">
        <f>F6+F10+F14</f>
        <v>4068.19</v>
      </c>
      <c r="G18" s="77" t="n">
        <f>G6+G10+G14</f>
        <v>3895.61</v>
      </c>
      <c r="H18" s="77" t="n">
        <f>H6+H10+H14</f>
        <v>3723.03</v>
      </c>
      <c r="I18" s="77" t="n">
        <f>I6+I10+I14</f>
        <v>3550.45</v>
      </c>
      <c r="J18" s="77" t="n">
        <f>J6+J10+J14</f>
        <v>3377.87</v>
      </c>
      <c r="K18" s="77" t="n">
        <f>K6+K10+K14</f>
        <v>3205.29</v>
      </c>
      <c r="L18" s="77" t="n">
        <f>L6+L10+L14</f>
        <v>3032.71</v>
      </c>
      <c r="M18" s="77" t="n">
        <f>M6+M10+M14</f>
        <v>2860.13</v>
      </c>
      <c r="N18" s="77" t="n">
        <f>N6+N10+N14</f>
        <v>2687.55</v>
      </c>
      <c r="O18" s="77" t="n">
        <f>O6+O10+O14</f>
        <v>2514.97</v>
      </c>
      <c r="P18" s="77" t="n">
        <f>P6+P10+P14</f>
        <v>2342.39</v>
      </c>
      <c r="Q18" s="77" t="n">
        <f>Q6+Q10+Q14</f>
        <v>2169.81</v>
      </c>
    </row>
  </sheetData>
  <mergeCells count="4">
    <mergeCell ref="A1:A2"/>
    <mergeCell ref="E1:Q1"/>
    <mergeCell ref="B1:B2"/>
    <mergeCell ref="D1:D2"/>
  </mergeCells>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9CC2E5"/>
    <outlinePr summaryBelow="0" summaryRight="0"/>
  </sheetPr>
  <dimension ref="A1"/>
  <sheetViews>
    <sheetView workbookViewId="0">
      <pane topLeftCell="A3" activePane="bottomRight" state="frozen" ySplit="2"/>
    </sheetView>
  </sheetViews>
  <sheetFormatPr baseColWidth="10" defaultColWidth="9" defaultRowHeight="14.002500000000003" customHeight="1"/>
  <cols>
    <col min="2" max="3" width="40.166015625" customWidth="1" style="548"/>
    <col min="4" max="4" width="30.6650390625" customWidth="1" style="548"/>
    <col min="5" max="5" width="20.4990234375" customWidth="1" style="548"/>
    <col min="6" max="6" width="16.166015625" customWidth="1" style="548"/>
  </cols>
  <sheetData>
    <row r="1" ht="14.002500000000003" customHeight="1">
      <c r="A1" s="470" t="s">
        <v>271</v>
      </c>
      <c r="B1" s="471"/>
      <c r="C1" s="471"/>
      <c r="D1" s="471"/>
      <c r="E1" s="471"/>
      <c r="F1" s="471"/>
      <c r="G1" s="472"/>
    </row>
    <row r="2" ht="14.002500000000003" customHeight="1">
      <c r="A2" s="341" t="s">
        <v>5</v>
      </c>
      <c r="B2" s="341" t="s">
        <v>263</v>
      </c>
      <c r="C2" s="341" t="s">
        <v>477</v>
      </c>
      <c r="D2" s="341" t="s">
        <v>478</v>
      </c>
      <c r="E2" s="341" t="s">
        <v>479</v>
      </c>
      <c r="F2" s="341" t="s">
        <v>187</v>
      </c>
      <c r="G2" s="341" t="s">
        <v>11</v>
      </c>
    </row>
    <row r="3" ht="14.002500000000003" customHeight="1">
      <c r="A3" s="341"/>
      <c r="B3" s="341"/>
      <c r="C3" s="341"/>
      <c r="D3" s="341"/>
      <c r="E3" s="341"/>
      <c r="F3" s="341" t="s">
        <v>190</v>
      </c>
      <c r="G3" s="341"/>
    </row>
    <row r="4" ht="84" customHeight="1">
      <c r="A4" s="341" t="s">
        <v>35</v>
      </c>
      <c r="B4" s="341" t="s">
        <v>137</v>
      </c>
      <c r="C4" s="5" t="s">
        <v>480</v>
      </c>
      <c r="D4" s="341" t="s">
        <v>481</v>
      </c>
      <c r="E4" s="66" t="s">
        <v>138</v>
      </c>
      <c r="F4" s="341" t="s">
        <v>482</v>
      </c>
      <c r="G4" s="341"/>
    </row>
    <row r="5" ht="14.002500000000003" customHeight="1">
      <c r="A5" s="341" t="s">
        <v>82</v>
      </c>
      <c r="B5" s="341" t="s">
        <v>483</v>
      </c>
      <c r="C5" s="341"/>
      <c r="D5" s="341"/>
      <c r="E5" s="341"/>
      <c r="F5" s="341"/>
      <c r="G5" s="341"/>
    </row>
    <row r="6" ht="14.002500000000003" customHeight="1">
      <c r="A6" s="341" t="s">
        <v>484</v>
      </c>
      <c r="B6" s="341" t="s">
        <v>485</v>
      </c>
      <c r="C6" s="341" t="s">
        <v>486</v>
      </c>
      <c r="D6" s="341"/>
      <c r="E6" s="341"/>
      <c r="F6" s="341"/>
      <c r="G6" s="341"/>
    </row>
    <row r="7" ht="14.002500000000003" customHeight="1" hidden="1">
      <c r="A7" s="341" t="n">
        <v>1</v>
      </c>
      <c r="B7" s="341" t="s">
        <v>487</v>
      </c>
      <c r="C7" s="341"/>
      <c r="D7" s="341"/>
      <c r="E7" s="341"/>
      <c r="F7" s="341"/>
      <c r="G7" s="341"/>
    </row>
    <row r="8" ht="14.002500000000003" customHeight="1" hidden="1">
      <c r="A8" s="67" t="s">
        <v>488</v>
      </c>
      <c r="B8" s="341" t="s">
        <v>489</v>
      </c>
      <c r="C8" s="341"/>
      <c r="D8" s="341"/>
      <c r="E8" s="341"/>
      <c r="F8" s="341"/>
      <c r="G8" s="341"/>
    </row>
    <row r="9" ht="14.002500000000003" customHeight="1" hidden="1">
      <c r="A9" s="341" t="n">
        <v>1.2</v>
      </c>
      <c r="B9" s="341" t="s">
        <v>490</v>
      </c>
      <c r="C9" s="341"/>
      <c r="D9" s="341"/>
      <c r="E9" s="341"/>
      <c r="F9" s="341"/>
      <c r="G9" s="341"/>
    </row>
    <row r="10" ht="14.002500000000003" customHeight="1" hidden="1">
      <c r="A10" s="341" t="n">
        <v>1.3</v>
      </c>
      <c r="B10" s="341" t="s">
        <v>491</v>
      </c>
      <c r="C10" s="341"/>
      <c r="D10" s="341"/>
      <c r="E10" s="341"/>
      <c r="F10" s="341"/>
      <c r="G10" s="341"/>
    </row>
    <row r="11" ht="14.002500000000003" customHeight="1" hidden="1">
      <c r="A11" s="341" t="n">
        <v>1.4</v>
      </c>
      <c r="B11" s="341" t="s">
        <v>492</v>
      </c>
      <c r="C11" s="341"/>
      <c r="D11" s="341"/>
      <c r="E11" s="341"/>
      <c r="F11" s="341"/>
      <c r="G11" s="341"/>
    </row>
    <row r="12" ht="14.002500000000003" customHeight="1" hidden="1">
      <c r="A12" s="341" t="n">
        <v>1.5</v>
      </c>
      <c r="B12" s="341" t="s">
        <v>493</v>
      </c>
      <c r="C12" s="341"/>
      <c r="D12" s="341"/>
      <c r="E12" s="341"/>
      <c r="F12" s="341"/>
      <c r="G12" s="341"/>
    </row>
    <row r="13" ht="14.002500000000003" customHeight="1" hidden="1">
      <c r="A13" s="341" t="n">
        <v>1.6</v>
      </c>
      <c r="B13" s="341" t="s">
        <v>494</v>
      </c>
      <c r="C13" s="341"/>
      <c r="D13" s="341"/>
      <c r="E13" s="341"/>
      <c r="F13" s="341"/>
      <c r="G13" s="341"/>
    </row>
    <row r="14" ht="14.002500000000003" customHeight="1" hidden="1">
      <c r="A14" s="341" t="n">
        <v>2</v>
      </c>
      <c r="B14" s="341" t="s">
        <v>495</v>
      </c>
      <c r="C14" s="341"/>
      <c r="D14" s="341"/>
      <c r="E14" s="341"/>
      <c r="F14" s="341"/>
      <c r="G14" s="341"/>
    </row>
    <row r="15" ht="14.002500000000003" customHeight="1" hidden="1">
      <c r="A15" s="341" t="n">
        <v>2.1</v>
      </c>
      <c r="B15" s="341" t="s">
        <v>496</v>
      </c>
      <c r="C15" s="341"/>
      <c r="D15" s="341"/>
      <c r="E15" s="341"/>
      <c r="F15" s="341"/>
      <c r="G15" s="341"/>
    </row>
    <row r="16" ht="14.002500000000003" customHeight="1" hidden="1">
      <c r="A16" s="341" t="n">
        <v>2.2</v>
      </c>
      <c r="B16" s="341" t="s">
        <v>497</v>
      </c>
      <c r="C16" s="341"/>
      <c r="D16" s="341"/>
      <c r="E16" s="341"/>
      <c r="F16" s="341"/>
      <c r="G16" s="341"/>
    </row>
    <row r="17" ht="14.002500000000003" customHeight="1" hidden="1">
      <c r="A17" s="341" t="n">
        <v>3</v>
      </c>
      <c r="B17" s="341" t="s">
        <v>498</v>
      </c>
      <c r="C17" s="341"/>
      <c r="D17" s="341"/>
      <c r="E17" s="341"/>
      <c r="F17" s="341"/>
      <c r="G17" s="341"/>
    </row>
    <row r="18" ht="112" customHeight="1">
      <c r="A18" s="341" t="s">
        <v>499</v>
      </c>
      <c r="B18" s="341" t="s">
        <v>139</v>
      </c>
      <c r="C18" s="564" t="s">
        <v>500</v>
      </c>
      <c r="D18" s="341" t="s">
        <v>501</v>
      </c>
      <c r="E18" s="66" t="s">
        <v>140</v>
      </c>
      <c r="F18" s="5" t="s">
        <v>502</v>
      </c>
      <c r="G18" s="341"/>
    </row>
    <row r="19" ht="126" customHeight="1">
      <c r="A19" s="341" t="s">
        <v>170</v>
      </c>
      <c r="B19" s="341" t="s">
        <v>503</v>
      </c>
      <c r="C19" s="5" t="s">
        <v>504</v>
      </c>
      <c r="D19" s="341"/>
      <c r="E19" s="5" t="s">
        <v>505</v>
      </c>
      <c r="F19" s="341"/>
      <c r="G19" s="341"/>
    </row>
    <row r="20" ht="14.002500000000003" customHeight="1">
      <c r="A20" s="341" t="s">
        <v>175</v>
      </c>
      <c r="B20" s="341" t="s">
        <v>506</v>
      </c>
      <c r="C20" s="341"/>
      <c r="D20" s="341"/>
      <c r="E20" s="341"/>
      <c r="F20" s="341"/>
      <c r="G20" s="341"/>
    </row>
    <row r="21" ht="42" customHeight="1">
      <c r="A21" s="341" t="s">
        <v>484</v>
      </c>
      <c r="B21" s="341" t="s">
        <v>141</v>
      </c>
      <c r="C21" s="5" t="s">
        <v>507</v>
      </c>
      <c r="D21" s="341"/>
      <c r="E21" s="68" t="s">
        <v>142</v>
      </c>
      <c r="F21" s="5" t="s">
        <v>502</v>
      </c>
      <c r="G21" s="341"/>
    </row>
    <row r="22" ht="14.002500000000003" customHeight="1">
      <c r="A22" s="341" t="s">
        <v>499</v>
      </c>
      <c r="B22" s="341" t="s">
        <v>508</v>
      </c>
      <c r="C22" s="341"/>
      <c r="D22" s="341"/>
      <c r="E22" s="341"/>
      <c r="F22" s="341"/>
      <c r="G22" s="341"/>
    </row>
    <row r="23" ht="28" customHeight="1">
      <c r="A23" s="341" t="n">
        <v>1</v>
      </c>
      <c r="B23" s="341" t="s">
        <v>155</v>
      </c>
      <c r="C23" s="341"/>
      <c r="D23" s="341"/>
      <c r="E23" s="68" t="s">
        <v>156</v>
      </c>
      <c r="F23" s="5" t="s">
        <v>509</v>
      </c>
      <c r="G23" s="341"/>
    </row>
    <row r="24" ht="28" customHeight="1">
      <c r="A24" s="341" t="n">
        <v>2</v>
      </c>
      <c r="B24" s="341" t="s">
        <v>164</v>
      </c>
      <c r="C24" s="341"/>
      <c r="D24" s="341"/>
      <c r="E24" s="68" t="s">
        <v>165</v>
      </c>
      <c r="F24" s="5" t="s">
        <v>509</v>
      </c>
      <c r="G24" s="341"/>
    </row>
    <row r="25" ht="14.002500000000003" customHeight="1">
      <c r="A25" s="341" t="n">
        <v>3</v>
      </c>
      <c r="B25" s="341" t="s">
        <v>510</v>
      </c>
      <c r="C25" s="341"/>
      <c r="D25" s="341"/>
      <c r="E25" s="341"/>
      <c r="F25" s="341"/>
      <c r="G25" s="341"/>
    </row>
    <row r="26" ht="14.002500000000003" customHeight="1">
      <c r="A26" s="341" t="n">
        <v>4</v>
      </c>
      <c r="B26" s="341" t="s">
        <v>511</v>
      </c>
      <c r="C26" s="341"/>
      <c r="D26" s="341"/>
      <c r="E26" s="341"/>
      <c r="F26" s="341"/>
      <c r="G26" s="341"/>
    </row>
    <row r="27" ht="28" customHeight="1">
      <c r="A27" s="341" t="n">
        <v>5</v>
      </c>
      <c r="B27" s="341" t="s">
        <v>159</v>
      </c>
      <c r="C27" s="341"/>
      <c r="D27" s="341"/>
      <c r="E27" s="68" t="s">
        <v>160</v>
      </c>
      <c r="F27" s="5" t="s">
        <v>512</v>
      </c>
      <c r="G27" s="341"/>
    </row>
    <row r="28" ht="14.002500000000003" customHeight="1">
      <c r="A28" s="341" t="n">
        <v>6</v>
      </c>
      <c r="B28" s="341" t="s">
        <v>513</v>
      </c>
      <c r="C28" s="341"/>
      <c r="D28" s="341"/>
      <c r="E28" s="341"/>
      <c r="F28" s="341"/>
      <c r="G28" s="341"/>
    </row>
    <row r="29" ht="28" customHeight="1">
      <c r="A29" s="341" t="n">
        <v>7</v>
      </c>
      <c r="B29" s="341" t="s">
        <v>157</v>
      </c>
      <c r="C29" s="341"/>
      <c r="D29" s="341"/>
      <c r="E29" s="68" t="s">
        <v>158</v>
      </c>
      <c r="F29" s="5" t="s">
        <v>512</v>
      </c>
      <c r="G29" s="341"/>
    </row>
    <row r="30" ht="14.002500000000003" customHeight="1">
      <c r="A30" s="341" t="n">
        <v>8</v>
      </c>
      <c r="B30" s="341" t="s">
        <v>514</v>
      </c>
      <c r="C30" s="341"/>
      <c r="D30" s="341"/>
      <c r="E30" s="341"/>
      <c r="F30" s="341"/>
      <c r="G30" s="341"/>
    </row>
    <row r="31" ht="14.002500000000003" customHeight="1">
      <c r="A31" s="341" t="n">
        <v>9</v>
      </c>
      <c r="B31" s="341" t="s">
        <v>162</v>
      </c>
      <c r="C31" s="341"/>
      <c r="D31" s="341"/>
      <c r="E31" s="66" t="s">
        <v>163</v>
      </c>
      <c r="F31" s="341"/>
      <c r="G31" s="341"/>
    </row>
    <row r="32" ht="84" customHeight="1">
      <c r="A32" s="341" t="n">
        <v>10</v>
      </c>
      <c r="B32" s="341" t="s">
        <v>161</v>
      </c>
      <c r="C32" s="5" t="s">
        <v>515</v>
      </c>
      <c r="D32" s="341" t="s">
        <v>516</v>
      </c>
      <c r="E32" s="66" t="s">
        <v>140</v>
      </c>
      <c r="F32" s="5" t="s">
        <v>509</v>
      </c>
      <c r="G32" s="341"/>
    </row>
    <row r="33" ht="111.65000000000002" customHeight="1">
      <c r="A33" s="341" t="n">
        <v>11</v>
      </c>
      <c r="B33" s="341" t="s">
        <v>166</v>
      </c>
      <c r="C33" s="5"/>
      <c r="D33" s="341"/>
      <c r="E33" s="68" t="s">
        <v>167</v>
      </c>
      <c r="F33" s="5"/>
      <c r="G33" s="341"/>
    </row>
    <row r="34" ht="14.002500000000003" customHeight="1">
      <c r="A34" s="341" t="n">
        <v>12</v>
      </c>
      <c r="B34" s="341" t="s">
        <v>517</v>
      </c>
      <c r="C34" s="341"/>
      <c r="D34" s="341"/>
      <c r="E34" s="341"/>
      <c r="F34" s="341"/>
      <c r="G34" s="341"/>
    </row>
    <row r="35" ht="14.002500000000003" customHeight="1">
      <c r="A35" s="341" t="s">
        <v>518</v>
      </c>
      <c r="B35" s="341" t="s">
        <v>519</v>
      </c>
      <c r="C35" s="341"/>
      <c r="D35" s="341"/>
      <c r="E35" s="341"/>
      <c r="F35" s="341"/>
      <c r="G35" s="341"/>
    </row>
    <row r="36" ht="14.002500000000003" customHeight="1">
      <c r="A36" s="341" t="n">
        <v>1</v>
      </c>
      <c r="B36" s="341" t="s">
        <v>143</v>
      </c>
      <c r="C36" s="341"/>
      <c r="D36" s="341" t="s">
        <v>520</v>
      </c>
      <c r="E36" s="66" t="s">
        <v>140</v>
      </c>
      <c r="F36" s="341"/>
      <c r="G36" s="341"/>
    </row>
    <row r="37" ht="98" customHeight="1">
      <c r="A37" s="341" t="n">
        <v>2</v>
      </c>
      <c r="B37" s="341" t="s">
        <v>144</v>
      </c>
      <c r="C37" s="341"/>
      <c r="D37" s="341"/>
      <c r="E37" s="66" t="s">
        <v>145</v>
      </c>
      <c r="F37" s="5" t="s">
        <v>521</v>
      </c>
      <c r="G37" s="341"/>
    </row>
    <row r="38" ht="42" customHeight="1">
      <c r="A38" s="341" t="s">
        <v>522</v>
      </c>
      <c r="B38" s="341" t="s">
        <v>146</v>
      </c>
      <c r="C38" s="5" t="s">
        <v>523</v>
      </c>
      <c r="D38" s="341"/>
      <c r="E38" s="66" t="s">
        <v>147</v>
      </c>
      <c r="F38" s="69" t="s">
        <v>524</v>
      </c>
      <c r="G38" s="341"/>
    </row>
    <row r="39" ht="14.002500000000003" customHeight="1">
      <c r="A39" s="341" t="s">
        <v>525</v>
      </c>
      <c r="B39" s="341" t="s">
        <v>526</v>
      </c>
      <c r="C39" s="341"/>
      <c r="D39" s="341"/>
      <c r="E39" s="341"/>
      <c r="F39" s="341"/>
      <c r="G39" s="341"/>
    </row>
    <row r="40" ht="14.002500000000003" customHeight="1">
      <c r="A40" s="341" t="s">
        <v>527</v>
      </c>
      <c r="B40" s="341" t="s">
        <v>528</v>
      </c>
      <c r="C40" s="341"/>
      <c r="D40" s="341"/>
      <c r="E40" s="341"/>
      <c r="F40" s="341"/>
      <c r="G40" s="341"/>
    </row>
    <row r="41" ht="14.002500000000003" customHeight="1">
      <c r="A41" s="341" t="s">
        <v>529</v>
      </c>
      <c r="B41" s="341" t="s">
        <v>530</v>
      </c>
      <c r="C41" s="341"/>
      <c r="D41" s="341"/>
      <c r="E41" s="341"/>
      <c r="F41" s="341"/>
      <c r="G41" s="341"/>
    </row>
    <row r="42" ht="69.99999999999999" customHeight="1">
      <c r="A42" s="341" t="s">
        <v>531</v>
      </c>
      <c r="B42" s="341" t="s">
        <v>148</v>
      </c>
      <c r="C42" s="5" t="s">
        <v>532</v>
      </c>
      <c r="D42" s="341"/>
      <c r="E42" s="66" t="s">
        <v>149</v>
      </c>
      <c r="F42" s="341" t="s">
        <v>533</v>
      </c>
      <c r="G42" s="341"/>
    </row>
    <row r="43" ht="42" customHeight="1">
      <c r="A43" s="341" t="s">
        <v>534</v>
      </c>
      <c r="B43" s="341" t="s">
        <v>150</v>
      </c>
      <c r="C43" s="5" t="s">
        <v>535</v>
      </c>
      <c r="D43" s="341"/>
      <c r="E43" s="66" t="s">
        <v>151</v>
      </c>
      <c r="F43" s="341" t="s">
        <v>536</v>
      </c>
      <c r="G43" s="341"/>
    </row>
    <row r="44" ht="14.002500000000003" customHeight="1">
      <c r="A44" s="341" t="s">
        <v>537</v>
      </c>
      <c r="B44" s="341" t="s">
        <v>538</v>
      </c>
      <c r="C44" s="341"/>
      <c r="D44" s="341"/>
      <c r="E44" s="66"/>
      <c r="F44" s="341"/>
      <c r="G44" s="341"/>
    </row>
    <row r="45" ht="56" customHeight="1">
      <c r="A45" s="341" t="s">
        <v>539</v>
      </c>
      <c r="B45" s="341" t="s">
        <v>152</v>
      </c>
      <c r="C45" s="5" t="s">
        <v>540</v>
      </c>
      <c r="D45" s="341"/>
      <c r="E45" s="66" t="s">
        <v>153</v>
      </c>
      <c r="F45" s="5" t="s">
        <v>509</v>
      </c>
      <c r="G45" s="341"/>
    </row>
    <row r="46" ht="56" customHeight="1">
      <c r="A46" s="341" t="s">
        <v>541</v>
      </c>
      <c r="B46" s="341" t="s">
        <v>154</v>
      </c>
      <c r="C46" s="5" t="s">
        <v>542</v>
      </c>
      <c r="D46" s="341" t="s">
        <v>543</v>
      </c>
      <c r="E46" s="66" t="s">
        <v>140</v>
      </c>
      <c r="F46" s="5" t="s">
        <v>509</v>
      </c>
      <c r="G46" s="341"/>
    </row>
  </sheetData>
  <sheetProtection algorithmName="SHA-512" hashValue="AhwC/KBZUrz/MmDbae+MSzoyrvsL3Vv2XfIV4bbWUwD82WQSCY2J2W0z3kazo7oxqfSJq1crPSTGXXe/mQOoQw==" saltValue="5qLWIGZkj82nimJqs6Bhzg==" spinCount="100000" sheet="1" objects="1" scenarios="1" selectLockedCells="1"/>
  <mergeCells count="2">
    <mergeCell ref="C6:C17"/>
    <mergeCell ref="A1:G1"/>
  </mergeCells>
  <phoneticPr fontId="1"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7" max="7" width="11.666015625" customWidth="1" style="548"/>
  </cols>
  <sheetData>
    <row r="1" ht="28" customHeight="1">
      <c r="A1" s="6" t="s">
        <v>5</v>
      </c>
      <c r="B1" s="341" t="s">
        <v>244</v>
      </c>
      <c r="C1" s="341"/>
      <c r="D1" s="341"/>
      <c r="E1" s="6" t="s">
        <v>198</v>
      </c>
      <c r="F1" s="6" t="s">
        <v>235</v>
      </c>
      <c r="G1" s="6" t="s">
        <v>86</v>
      </c>
      <c r="H1" s="63" t="s">
        <v>200</v>
      </c>
    </row>
    <row r="2" ht="14.002500000000003" customHeight="1">
      <c r="A2" s="6"/>
      <c r="B2" s="341"/>
      <c r="C2" s="341"/>
      <c r="D2" s="341"/>
      <c r="E2" s="6"/>
      <c r="F2" s="6"/>
      <c r="G2" s="6" t="n">
        <f>'其他费自动计算'!C2</f>
        <v>3992.88</v>
      </c>
      <c r="H2" s="6"/>
    </row>
    <row r="3" ht="14.002500000000003" customHeight="1">
      <c r="A3" s="341" t="n">
        <v>1</v>
      </c>
      <c r="B3" s="6"/>
      <c r="C3" s="341" t="s">
        <v>209</v>
      </c>
      <c r="D3" s="6" t="n">
        <v>10000</v>
      </c>
      <c r="E3" s="6" t="n">
        <v>6</v>
      </c>
      <c r="F3" s="6"/>
      <c r="G3" s="9" t="n">
        <f>IF(G2&lt;D3,1,0)</f>
        <v>1</v>
      </c>
      <c r="H3" s="6" t="n">
        <f>IF(AND(G3=1,G2&gt;0),E3,0)</f>
        <v>6</v>
      </c>
    </row>
    <row r="4" ht="14.002500000000003" customHeight="1">
      <c r="A4" s="341" t="n">
        <v>2</v>
      </c>
      <c r="B4" s="6" t="n">
        <v>10000</v>
      </c>
      <c r="C4" s="341" t="s">
        <v>202</v>
      </c>
      <c r="D4" s="6" t="n">
        <v>50000</v>
      </c>
      <c r="E4" s="6" t="n">
        <v>13</v>
      </c>
      <c r="F4" s="64" t="n">
        <v>0.000175</v>
      </c>
      <c r="G4" s="9" t="n">
        <f>IF(AND(G$2&lt;=D4,G$2&gt;B4),1,0)</f>
        <v>0</v>
      </c>
      <c r="H4" s="6" t="n">
        <f>IF(G4=1,(E3+($G$2-B4)*F4),0)</f>
        <v>0</v>
      </c>
    </row>
    <row r="5" ht="14.002500000000003" customHeight="1">
      <c r="A5" s="341" t="n">
        <v>3</v>
      </c>
      <c r="B5" s="6" t="n">
        <v>50000</v>
      </c>
      <c r="C5" s="341" t="s">
        <v>202</v>
      </c>
      <c r="D5" s="6" t="n">
        <v>100000</v>
      </c>
      <c r="E5" s="6" t="n">
        <v>20</v>
      </c>
      <c r="F5" s="65" t="n">
        <v>0.00014</v>
      </c>
      <c r="G5" s="9" t="n">
        <f>IF(AND(G$2&lt;=D5,G$2&gt;B5),1,0)</f>
        <v>0</v>
      </c>
      <c r="H5" s="6" t="n">
        <f>IF(G5=1,(E4+($G$2-B5)*F5),0)</f>
        <v>0</v>
      </c>
    </row>
    <row r="6" ht="14.002500000000003" customHeight="1">
      <c r="A6" s="341" t="n">
        <v>4</v>
      </c>
      <c r="B6" s="6" t="n">
        <v>100000</v>
      </c>
      <c r="C6" s="341" t="s">
        <v>209</v>
      </c>
      <c r="D6" s="6"/>
      <c r="E6" s="6"/>
      <c r="F6" s="6"/>
      <c r="G6" s="9" t="n">
        <f>IF(G2&gt;B6,1,0)</f>
        <v>0</v>
      </c>
      <c r="H6" s="6" t="n">
        <f>IF(G6=1,E5,0)</f>
        <v>0</v>
      </c>
    </row>
  </sheetData>
  <mergeCells count="1">
    <mergeCell ref="B1:D1"/>
  </mergeCells>
  <phoneticPr fontId="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sheetData>
    <row r="1" ht="28" customHeight="1">
      <c r="A1" s="341" t="s">
        <v>5</v>
      </c>
      <c r="B1" s="341" t="s">
        <v>216</v>
      </c>
      <c r="C1" s="341"/>
      <c r="D1" s="341"/>
      <c r="E1" s="341" t="s">
        <v>217</v>
      </c>
      <c r="F1" s="341" t="s">
        <v>544</v>
      </c>
      <c r="G1" s="5" t="s">
        <v>218</v>
      </c>
      <c r="H1" s="5" t="s">
        <v>219</v>
      </c>
      <c r="I1" s="341" t="s">
        <v>195</v>
      </c>
    </row>
    <row r="2" ht="14.002500000000003" customHeight="1">
      <c r="A2" s="341"/>
      <c r="B2" s="341"/>
      <c r="C2" s="341"/>
      <c r="D2" s="341"/>
      <c r="E2" s="341"/>
      <c r="F2" s="62"/>
      <c r="G2" s="341" t="n">
        <f>SUM(G3:G8)</f>
        <v>0</v>
      </c>
      <c r="H2" s="341" t="n">
        <v>1.2</v>
      </c>
      <c r="I2" s="341" t="n">
        <f>SUM(I3:I8)</f>
        <v>0</v>
      </c>
    </row>
    <row r="3" ht="14.002500000000003" customHeight="1">
      <c r="A3" s="341" t="n">
        <v>1</v>
      </c>
      <c r="B3" s="341"/>
      <c r="C3" s="341" t="s">
        <v>209</v>
      </c>
      <c r="D3" s="341" t="n">
        <v>3000</v>
      </c>
      <c r="E3" s="341" t="n">
        <v>3</v>
      </c>
      <c r="F3" s="9" t="n">
        <f>IF(AND(F2&lt;=D3,F2&gt;0),1,0)</f>
        <v>0</v>
      </c>
      <c r="G3" s="341" t="n">
        <f>IF(F3=1,E3/D3*F2,0)</f>
        <v>0</v>
      </c>
      <c r="H3" s="341" t="n">
        <v>1.2</v>
      </c>
      <c r="I3" s="341" t="n">
        <f>IF(F3=1,MAX(G3*H3,E3),0)</f>
        <v>0</v>
      </c>
    </row>
    <row r="4" ht="14.002500000000003" customHeight="1">
      <c r="A4" s="341" t="n">
        <v>2</v>
      </c>
      <c r="B4" s="341" t="n">
        <v>3000</v>
      </c>
      <c r="C4" s="341" t="s">
        <v>202</v>
      </c>
      <c r="D4" s="341" t="n">
        <v>10000</v>
      </c>
      <c r="E4" s="341" t="n">
        <v>6</v>
      </c>
      <c r="F4" s="9" t="n">
        <f>IF(AND($F$2&gt;B4,$F$2&lt;=D4),1,0)</f>
        <v>0</v>
      </c>
      <c r="G4" s="341" t="n">
        <f>IF(F4=1,(E3+(E4-E3)/(D4-B4)*($F$2-B4)),0)</f>
        <v>0</v>
      </c>
      <c r="H4" s="341" t="n">
        <v>1.2</v>
      </c>
      <c r="I4" s="341" t="n">
        <f>G4*H4</f>
        <v>0</v>
      </c>
    </row>
    <row r="5" ht="14.002500000000003" customHeight="1">
      <c r="A5" s="341" t="n">
        <v>3</v>
      </c>
      <c r="B5" s="341" t="n">
        <v>10000</v>
      </c>
      <c r="C5" s="341" t="s">
        <v>202</v>
      </c>
      <c r="D5" s="341" t="n">
        <v>50000</v>
      </c>
      <c r="E5" s="341" t="n">
        <v>9</v>
      </c>
      <c r="F5" s="9" t="n">
        <f>IF(AND($F$2&gt;B5,$F$2&lt;=D5),1,0)</f>
        <v>0</v>
      </c>
      <c r="G5" s="341" t="n">
        <f>IF(F5=1,(E4+(E5-E4)/(D5-B5)*($F$2-B5)),0)</f>
        <v>0</v>
      </c>
      <c r="H5" s="341" t="n">
        <v>1.2</v>
      </c>
      <c r="I5" s="341" t="n">
        <f>G5*H5</f>
        <v>0</v>
      </c>
    </row>
    <row r="6" ht="14.002500000000003" customHeight="1">
      <c r="A6" s="341" t="n">
        <v>4</v>
      </c>
      <c r="B6" s="341" t="n">
        <v>50000</v>
      </c>
      <c r="C6" s="341" t="s">
        <v>202</v>
      </c>
      <c r="D6" s="341" t="n">
        <v>100000</v>
      </c>
      <c r="E6" s="341" t="n">
        <v>12</v>
      </c>
      <c r="F6" s="9" t="n">
        <f>IF(AND($F$2&gt;B6,$F$2&lt;=D6),1,0)</f>
        <v>0</v>
      </c>
      <c r="G6" s="341" t="n">
        <f>IF(F6=1,(E5+(E6-E5)/(D6-B6)*($F$2-B6)),0)</f>
        <v>0</v>
      </c>
      <c r="H6" s="341" t="n">
        <v>1.2</v>
      </c>
      <c r="I6" s="341" t="n">
        <f>G6*H6</f>
        <v>0</v>
      </c>
    </row>
    <row r="7" ht="14.002500000000003" customHeight="1">
      <c r="A7" s="341" t="n">
        <v>5</v>
      </c>
      <c r="B7" s="341" t="n">
        <v>100000</v>
      </c>
      <c r="C7" s="341" t="s">
        <v>202</v>
      </c>
      <c r="D7" s="341" t="n">
        <v>500000</v>
      </c>
      <c r="E7" s="341" t="n">
        <v>15</v>
      </c>
      <c r="F7" s="9" t="n">
        <f>IF(AND($F$2&gt;B7,$F$2&lt;=D7),1,0)</f>
        <v>0</v>
      </c>
      <c r="G7" s="341" t="n">
        <f>IF(F7=1,(E6+(E7-E6)/(D7-B7)*($F$2-B7)),0)</f>
        <v>0</v>
      </c>
      <c r="H7" s="341" t="n">
        <v>1.2</v>
      </c>
      <c r="I7" s="341" t="n">
        <f>G7*H7</f>
        <v>0</v>
      </c>
    </row>
    <row r="8" ht="14.002500000000003" customHeight="1">
      <c r="A8" s="341" t="n">
        <v>6</v>
      </c>
      <c r="B8" s="341" t="n">
        <v>500000</v>
      </c>
      <c r="C8" s="341" t="s">
        <v>209</v>
      </c>
      <c r="D8" s="341"/>
      <c r="E8" s="341" t="n">
        <v>20</v>
      </c>
      <c r="F8" s="9" t="n">
        <f>IF(F2&gt;B8,1,0)</f>
        <v>0</v>
      </c>
      <c r="G8" s="341" t="n">
        <f>IF(F8=1,E8/B8*F2,0)</f>
        <v>0</v>
      </c>
      <c r="H8" s="341" t="n">
        <v>1.2</v>
      </c>
      <c r="I8" s="341" t="n">
        <f>IF(F8=1,MIN(G8*H8,E8),0)</f>
        <v>0</v>
      </c>
    </row>
  </sheetData>
  <mergeCells count="3">
    <mergeCell ref="E1:E2"/>
    <mergeCell ref="A1:A2"/>
    <mergeCell ref="B1:D2"/>
  </mergeCells>
  <phoneticPr fontId="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1" max="1" width="5.4990234375" customWidth="1" style="548"/>
    <col min="6" max="6" width="11.666015625" customWidth="1" style="548"/>
  </cols>
  <sheetData>
    <row r="1" ht="28" customHeight="1">
      <c r="A1" s="473" t="s">
        <v>5</v>
      </c>
      <c r="B1" s="475" t="s">
        <v>241</v>
      </c>
      <c r="C1" s="476"/>
      <c r="D1" s="477"/>
      <c r="E1" s="473" t="s">
        <v>198</v>
      </c>
      <c r="F1" s="341" t="s">
        <v>86</v>
      </c>
      <c r="G1" s="5" t="s">
        <v>200</v>
      </c>
    </row>
    <row r="2" ht="14.002500000000003" customHeight="1">
      <c r="A2" s="474"/>
      <c r="B2" s="478"/>
      <c r="C2" s="479"/>
      <c r="D2" s="480"/>
      <c r="E2" s="474"/>
      <c r="F2" s="341" t="n">
        <f>'其他费自动计算'!C2</f>
        <v>3992.88</v>
      </c>
      <c r="G2" s="341" t="n">
        <f>SUM(G3:G24)</f>
        <v>23.95728</v>
      </c>
    </row>
    <row r="3" ht="14.002500000000003" customHeight="1">
      <c r="A3" s="341" t="n">
        <v>1</v>
      </c>
      <c r="B3" s="341"/>
      <c r="C3" s="341" t="s">
        <v>209</v>
      </c>
      <c r="D3" s="341" t="n">
        <v>5000</v>
      </c>
      <c r="E3" s="341" t="n">
        <v>30</v>
      </c>
      <c r="F3" s="9" t="n">
        <f>IF(F2&lt;=D3,1,0)</f>
        <v>1</v>
      </c>
      <c r="G3" s="341" t="n">
        <f>IF(F3=1,E3/D3*F2,0)</f>
        <v>23.95728</v>
      </c>
    </row>
    <row r="4" ht="14.002500000000003" customHeight="1">
      <c r="A4" s="341" t="n">
        <v>2</v>
      </c>
      <c r="B4" s="341" t="n">
        <v>5000</v>
      </c>
      <c r="C4" s="341" t="s">
        <v>202</v>
      </c>
      <c r="D4" s="341" t="n">
        <v>10000</v>
      </c>
      <c r="E4" s="341" t="n">
        <v>52</v>
      </c>
      <c r="F4" s="9" t="n">
        <f>IF(AND($F$2&lt;=D4,$F$2&gt;B4),1,)</f>
        <v>0</v>
      </c>
      <c r="G4" s="341" t="n">
        <f>IF(F4=1,(E3+(E4-E3)/(D4-B4)*($F$2-B4)),0)</f>
        <v>0</v>
      </c>
    </row>
    <row r="5" ht="14.002500000000003" customHeight="1">
      <c r="A5" s="341" t="n">
        <v>3</v>
      </c>
      <c r="B5" s="341" t="n">
        <v>10000</v>
      </c>
      <c r="C5" s="341" t="s">
        <v>202</v>
      </c>
      <c r="D5" s="341" t="n">
        <v>20000</v>
      </c>
      <c r="E5" s="341" t="n">
        <v>72</v>
      </c>
      <c r="F5" s="9" t="n">
        <f>IF(AND($F$2&lt;=D5,$F$2&gt;B5),1,)</f>
        <v>0</v>
      </c>
      <c r="G5" s="341" t="n">
        <f>IF(F5=1,(E4+(E5-E4)/(D5-B5)*($F$2-B5)),0)</f>
        <v>0</v>
      </c>
    </row>
    <row r="6" ht="14.002500000000003" customHeight="1">
      <c r="A6" s="341" t="n">
        <v>4</v>
      </c>
      <c r="B6" s="341" t="n">
        <v>20000</v>
      </c>
      <c r="C6" s="341" t="s">
        <v>202</v>
      </c>
      <c r="D6" s="341" t="n">
        <v>30000</v>
      </c>
      <c r="E6" s="341" t="n">
        <v>82</v>
      </c>
      <c r="F6" s="9" t="n">
        <f>IF(AND($F$2&lt;=D6,$F$2&gt;B6),1,)</f>
        <v>0</v>
      </c>
      <c r="G6" s="341" t="n">
        <f>IF(F6=1,(E5+(E6-E5)/(D6-B6)*($F$2-B6)),0)</f>
        <v>0</v>
      </c>
    </row>
    <row r="7" ht="14.002500000000003" customHeight="1">
      <c r="A7" s="341" t="n">
        <v>5</v>
      </c>
      <c r="B7" s="341" t="n">
        <v>30000</v>
      </c>
      <c r="C7" s="341" t="s">
        <v>202</v>
      </c>
      <c r="D7" s="341" t="n">
        <v>40000</v>
      </c>
      <c r="E7" s="341" t="n">
        <v>95</v>
      </c>
      <c r="F7" s="9" t="n">
        <f>IF(AND($F$2&lt;=D7,$F$2&gt;B7),1,)</f>
        <v>0</v>
      </c>
      <c r="G7" s="341" t="n">
        <f>IF(F7=1,(E6+(E7-E6)/(D7-B7)*($F$2-B7)),0)</f>
        <v>0</v>
      </c>
    </row>
    <row r="8" ht="14.002500000000003" customHeight="1">
      <c r="A8" s="341" t="n">
        <v>6</v>
      </c>
      <c r="B8" s="341" t="n">
        <v>40000</v>
      </c>
      <c r="C8" s="341" t="s">
        <v>202</v>
      </c>
      <c r="D8" s="341" t="n">
        <v>50000</v>
      </c>
      <c r="E8" s="341" t="n">
        <v>104</v>
      </c>
      <c r="F8" s="9" t="n">
        <f>IF(AND($F$2&lt;=D8,$F$2&gt;B8),1,)</f>
        <v>0</v>
      </c>
      <c r="G8" s="341" t="n">
        <f>IF(F8=1,(E7+(E8-E7)/(D8-B8)*($F$2-B8)),0)</f>
        <v>0</v>
      </c>
    </row>
    <row r="9" ht="14.002500000000003" customHeight="1">
      <c r="A9" s="341" t="n">
        <v>7</v>
      </c>
      <c r="B9" s="341" t="n">
        <v>50000</v>
      </c>
      <c r="C9" s="341" t="s">
        <v>202</v>
      </c>
      <c r="D9" s="341" t="n">
        <v>60000</v>
      </c>
      <c r="E9" s="341" t="n">
        <v>116</v>
      </c>
      <c r="F9" s="9" t="n">
        <f>IF(AND($F$2&lt;=D9,$F$2&gt;B9),1,)</f>
        <v>0</v>
      </c>
      <c r="G9" s="341" t="n">
        <f>IF(F9=1,(E8+(E9-E8)/(D9-B9)*($F$2-B9)),0)</f>
        <v>0</v>
      </c>
    </row>
    <row r="10" ht="14.002500000000003" customHeight="1">
      <c r="A10" s="341" t="n">
        <v>8</v>
      </c>
      <c r="B10" s="341" t="n">
        <v>60000</v>
      </c>
      <c r="C10" s="341" t="s">
        <v>202</v>
      </c>
      <c r="D10" s="341" t="n">
        <v>70000</v>
      </c>
      <c r="E10" s="341" t="n">
        <v>119</v>
      </c>
      <c r="F10" s="9" t="n">
        <f>IF(AND($F$2&lt;=D10,$F$2&gt;B10),1,)</f>
        <v>0</v>
      </c>
      <c r="G10" s="341" t="n">
        <f>IF(F10=1,(E9+(E10-E9)/(D10-B10)*($F$2-B10)),0)</f>
        <v>0</v>
      </c>
    </row>
    <row r="11" ht="14.002500000000003" customHeight="1">
      <c r="A11" s="341" t="n">
        <v>9</v>
      </c>
      <c r="B11" s="341" t="n">
        <v>70000</v>
      </c>
      <c r="C11" s="341" t="s">
        <v>202</v>
      </c>
      <c r="D11" s="341" t="n">
        <v>80000</v>
      </c>
      <c r="E11" s="341" t="n">
        <v>132</v>
      </c>
      <c r="F11" s="9" t="n">
        <f>IF(AND($F$2&lt;=D11,$F$2&gt;B11),1,)</f>
        <v>0</v>
      </c>
      <c r="G11" s="341" t="n">
        <f>IF(F11=1,(E10+(E11-E10)/(D11-B11)*($F$2-B11)),0)</f>
        <v>0</v>
      </c>
    </row>
    <row r="12" ht="14.002500000000003" customHeight="1">
      <c r="A12" s="341" t="n">
        <v>10</v>
      </c>
      <c r="B12" s="341" t="n">
        <v>80000</v>
      </c>
      <c r="C12" s="341" t="s">
        <v>202</v>
      </c>
      <c r="D12" s="341" t="n">
        <v>90000</v>
      </c>
      <c r="E12" s="341" t="n">
        <v>156</v>
      </c>
      <c r="F12" s="9" t="n">
        <f>IF(AND($F$2&lt;=D12,$F$2&gt;B12),1,)</f>
        <v>0</v>
      </c>
      <c r="G12" s="341" t="n">
        <f>IF(F12=1,(E11+(E12-E11)/(D12-B12)*($F$2-B12)),0)</f>
        <v>0</v>
      </c>
    </row>
    <row r="13" ht="14.002500000000003" customHeight="1">
      <c r="A13" s="341" t="n">
        <v>11</v>
      </c>
      <c r="B13" s="341" t="n">
        <v>90000</v>
      </c>
      <c r="C13" s="341" t="s">
        <v>202</v>
      </c>
      <c r="D13" s="341" t="n">
        <v>100000</v>
      </c>
      <c r="E13" s="341" t="n">
        <v>171</v>
      </c>
      <c r="F13" s="9" t="n">
        <f>IF(AND($F$2&lt;=D13,$F$2&gt;B13),1,)</f>
        <v>0</v>
      </c>
      <c r="G13" s="341" t="n">
        <f>IF(F13=1,(E12+(E13-E12)/(D13-B13)*($F$2-B13)),0)</f>
        <v>0</v>
      </c>
    </row>
    <row r="14" ht="14.002500000000003" customHeight="1">
      <c r="A14" s="341" t="n">
        <v>12</v>
      </c>
      <c r="B14" s="341" t="n">
        <v>100000</v>
      </c>
      <c r="C14" s="341" t="s">
        <v>202</v>
      </c>
      <c r="D14" s="341" t="n">
        <v>110000</v>
      </c>
      <c r="E14" s="341" t="n">
        <v>185</v>
      </c>
      <c r="F14" s="9" t="n">
        <f>IF(AND($F$2&lt;=D14,$F$2&gt;B14),1,)</f>
        <v>0</v>
      </c>
      <c r="G14" s="341" t="n">
        <f>IF(F14=1,(E13+(E14-E13)/(D14-B14)*($F$2-B14)),0)</f>
        <v>0</v>
      </c>
    </row>
    <row r="15" ht="14.002500000000003" customHeight="1">
      <c r="A15" s="341" t="n">
        <v>13</v>
      </c>
      <c r="B15" s="341" t="n">
        <v>110000</v>
      </c>
      <c r="C15" s="341" t="s">
        <v>202</v>
      </c>
      <c r="D15" s="341" t="n">
        <v>120000</v>
      </c>
      <c r="E15" s="341" t="n">
        <v>200</v>
      </c>
      <c r="F15" s="9" t="n">
        <f>IF(AND($F$2&lt;=D15,$F$2&gt;B15),1,)</f>
        <v>0</v>
      </c>
      <c r="G15" s="341" t="n">
        <f>IF(F15=1,(E14+(E15-E14)/(D15-B15)*($F$2-B15)),0)</f>
        <v>0</v>
      </c>
    </row>
    <row r="16" ht="14.002500000000003" customHeight="1">
      <c r="A16" s="341" t="n">
        <v>14</v>
      </c>
      <c r="B16" s="341" t="n">
        <v>120000</v>
      </c>
      <c r="C16" s="341" t="s">
        <v>202</v>
      </c>
      <c r="D16" s="341" t="n">
        <v>130000</v>
      </c>
      <c r="E16" s="341" t="n">
        <v>220</v>
      </c>
      <c r="F16" s="9" t="n">
        <f>IF(AND($F$2&lt;=D16,$F$2&gt;B16),1,)</f>
        <v>0</v>
      </c>
      <c r="G16" s="341" t="n">
        <f>IF(F16=1,(E15+(E16-E15)/(D16-B16)*($F$2-B16)),0)</f>
        <v>0</v>
      </c>
    </row>
    <row r="17" ht="14.002500000000003" customHeight="1">
      <c r="A17" s="341" t="n">
        <v>15</v>
      </c>
      <c r="B17" s="341" t="n">
        <v>130000</v>
      </c>
      <c r="C17" s="341" t="s">
        <v>202</v>
      </c>
      <c r="D17" s="341" t="n">
        <v>140000</v>
      </c>
      <c r="E17" s="341" t="n">
        <v>230</v>
      </c>
      <c r="F17" s="9" t="n">
        <f>IF(AND($F$2&lt;=D17,$F$2&gt;B17),1,)</f>
        <v>0</v>
      </c>
      <c r="G17" s="341" t="n">
        <f>IF(F17=1,(E16+(E17-E16)/(D17-B17)*($F$2-B17)),0)</f>
        <v>0</v>
      </c>
    </row>
    <row r="18" ht="14.002500000000003" customHeight="1">
      <c r="A18" s="341" t="n">
        <v>16</v>
      </c>
      <c r="B18" s="341" t="n">
        <v>140000</v>
      </c>
      <c r="C18" s="341" t="s">
        <v>202</v>
      </c>
      <c r="D18" s="341" t="n">
        <v>150000</v>
      </c>
      <c r="E18" s="341" t="n">
        <v>245</v>
      </c>
      <c r="F18" s="9" t="n">
        <f>IF(AND($F$2&lt;=D18,$F$2&gt;B18),1,)</f>
        <v>0</v>
      </c>
      <c r="G18" s="341" t="n">
        <f>IF(F18=1,(E17+(E18-E17)/(D18-B18)*($F$2-B18)),0)</f>
        <v>0</v>
      </c>
    </row>
    <row r="19" ht="14.002500000000003" customHeight="1">
      <c r="A19" s="341" t="n">
        <v>17</v>
      </c>
      <c r="B19" s="341" t="n">
        <v>150000</v>
      </c>
      <c r="C19" s="341" t="s">
        <v>202</v>
      </c>
      <c r="D19" s="341" t="n">
        <v>160000</v>
      </c>
      <c r="E19" s="341" t="n">
        <v>259</v>
      </c>
      <c r="F19" s="9" t="n">
        <f>IF(AND($F$2&lt;=D19,$F$2&gt;B19),1,)</f>
        <v>0</v>
      </c>
      <c r="G19" s="341" t="n">
        <f>IF(F19=1,(E18+(E19-E18)/(D19-B19)*($F$2-B19)),0)</f>
        <v>0</v>
      </c>
    </row>
    <row r="20" ht="14.002500000000003" customHeight="1">
      <c r="A20" s="341" t="n">
        <v>18</v>
      </c>
      <c r="B20" s="341" t="n">
        <v>160000</v>
      </c>
      <c r="C20" s="341" t="s">
        <v>202</v>
      </c>
      <c r="D20" s="341" t="n">
        <v>170000</v>
      </c>
      <c r="E20" s="341" t="n">
        <v>270</v>
      </c>
      <c r="F20" s="9" t="n">
        <f>IF(AND($F$2&lt;=D20,$F$2&gt;B20),1,)</f>
        <v>0</v>
      </c>
      <c r="G20" s="341" t="n">
        <f>IF(F20=1,(E19+(E20-E19)/(D20-B20)*($F$2-B20)),0)</f>
        <v>0</v>
      </c>
    </row>
    <row r="21" ht="14.002500000000003" customHeight="1">
      <c r="A21" s="341" t="n">
        <v>19</v>
      </c>
      <c r="B21" s="341" t="n">
        <v>170000</v>
      </c>
      <c r="C21" s="341" t="s">
        <v>202</v>
      </c>
      <c r="D21" s="341" t="n">
        <v>180000</v>
      </c>
      <c r="E21" s="341" t="n">
        <v>290</v>
      </c>
      <c r="F21" s="9" t="n">
        <f>IF(AND($F$2&lt;=D21,$F$2&gt;B21),1,)</f>
        <v>0</v>
      </c>
      <c r="G21" s="341" t="n">
        <f>IF(F21=1,(E20+(E21-E20)/(D21-B21)*($F$2-B21)),0)</f>
        <v>0</v>
      </c>
    </row>
    <row r="22" ht="14.002500000000003" customHeight="1">
      <c r="A22" s="341" t="n">
        <v>20</v>
      </c>
      <c r="B22" s="341" t="n">
        <v>180000</v>
      </c>
      <c r="C22" s="341" t="s">
        <v>202</v>
      </c>
      <c r="D22" s="341" t="n">
        <v>190000</v>
      </c>
      <c r="E22" s="341" t="n">
        <v>320</v>
      </c>
      <c r="F22" s="9" t="n">
        <f>IF(AND($F$2&lt;=D22,$F$2&gt;B22),1,)</f>
        <v>0</v>
      </c>
      <c r="G22" s="341" t="n">
        <f>IF(F22=1,(E21+(E22-E21)/(D22-B22)*($F$2-B22)),0)</f>
        <v>0</v>
      </c>
    </row>
    <row r="23" ht="14.002500000000003" customHeight="1">
      <c r="A23" s="341" t="n">
        <v>21</v>
      </c>
      <c r="B23" s="341" t="n">
        <v>190000</v>
      </c>
      <c r="C23" s="341" t="s">
        <v>202</v>
      </c>
      <c r="D23" s="341" t="n">
        <v>200000</v>
      </c>
      <c r="E23" s="341" t="n">
        <v>350</v>
      </c>
      <c r="F23" s="9" t="n">
        <f>IF(AND($F$2&lt;=D23,$F$2&gt;B23),1,)</f>
        <v>0</v>
      </c>
      <c r="G23" s="341" t="n">
        <f>IF(F23=1,(E22+(E23-E22)/(D23-B23)*($F$2-B23)),0)</f>
        <v>0</v>
      </c>
    </row>
    <row r="24" ht="14.002500000000003" customHeight="1">
      <c r="A24" s="341" t="n">
        <v>22</v>
      </c>
      <c r="B24" s="341" t="n">
        <v>200000</v>
      </c>
      <c r="C24" s="341" t="s">
        <v>209</v>
      </c>
      <c r="D24" s="341"/>
      <c r="E24" s="6"/>
      <c r="F24" s="9" t="n">
        <f>IF(F2&gt;B24,1,0)</f>
        <v>0</v>
      </c>
      <c r="G24" s="341" t="n">
        <f>IF(F24=1,E23/B24*F2,0)</f>
        <v>0</v>
      </c>
    </row>
  </sheetData>
  <mergeCells count="3">
    <mergeCell ref="B1:D2"/>
    <mergeCell ref="A1:A2"/>
    <mergeCell ref="E1:E2"/>
  </mergeCells>
  <phoneticPr fontId="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002500000000003" customHeight="1"/>
  <cols>
    <col min="1" max="1" width="5.4990234375" customWidth="1" style="548"/>
    <col min="2" max="2" width="7.166015625" customWidth="1" style="548"/>
    <col min="4" max="4" width="8.666015625" customWidth="1" style="548"/>
    <col min="5" max="5" width="14.33203125" customWidth="1" style="548"/>
  </cols>
  <sheetData>
    <row r="1" ht="27.649999999999995" customHeight="1">
      <c r="A1" s="473" t="s">
        <v>5</v>
      </c>
      <c r="B1" s="565" t="s">
        <v>224</v>
      </c>
      <c r="C1" s="484"/>
      <c r="D1" s="485"/>
      <c r="E1" s="566" t="s">
        <v>225</v>
      </c>
      <c r="F1" s="567" t="s">
        <v>226</v>
      </c>
      <c r="G1" s="5" t="s">
        <v>545</v>
      </c>
      <c r="H1" s="5" t="s">
        <v>228</v>
      </c>
      <c r="I1" s="5" t="s">
        <v>229</v>
      </c>
      <c r="J1" s="5" t="s">
        <v>230</v>
      </c>
    </row>
    <row r="2" ht="14.002500000000003" customHeight="1">
      <c r="A2" s="474"/>
      <c r="B2" s="486"/>
      <c r="C2" s="487"/>
      <c r="D2" s="488"/>
      <c r="E2" s="482"/>
      <c r="F2" s="482"/>
      <c r="G2" s="59"/>
      <c r="H2" s="6" t="n">
        <f>SUM(H3:H7)</f>
        <v>0</v>
      </c>
      <c r="I2" s="19" t="n">
        <v>1</v>
      </c>
      <c r="J2" s="6" t="n">
        <f>SUM(J3:J7)</f>
        <v>0</v>
      </c>
    </row>
    <row r="3" ht="14.002500000000003" customHeight="1">
      <c r="A3" s="341" t="n">
        <v>1</v>
      </c>
      <c r="B3" s="341"/>
      <c r="C3" s="341" t="s">
        <v>209</v>
      </c>
      <c r="D3" s="60" t="n">
        <v>5</v>
      </c>
      <c r="E3" s="60" t="n">
        <v>2</v>
      </c>
      <c r="F3" s="61" t="n">
        <v>10</v>
      </c>
      <c r="G3" s="6" t="n">
        <f>IF(AND(G2&lt;=D3,G2&gt;0),1,0)</f>
        <v>0</v>
      </c>
      <c r="H3" s="6" t="n">
        <f>IF(G3=1,F3,0)</f>
        <v>0</v>
      </c>
      <c r="I3" s="19" t="n">
        <f>I$2</f>
        <v>1</v>
      </c>
      <c r="J3" s="6" t="n">
        <f>H3*I3</f>
        <v>0</v>
      </c>
    </row>
    <row r="4" ht="14.002500000000003" customHeight="1">
      <c r="A4" s="341" t="n">
        <v>2</v>
      </c>
      <c r="B4" s="60" t="n">
        <v>5</v>
      </c>
      <c r="C4" s="341" t="s">
        <v>202</v>
      </c>
      <c r="D4" s="60" t="n">
        <v>20</v>
      </c>
      <c r="E4" s="60" t="n">
        <v>2</v>
      </c>
      <c r="F4" s="61" t="n">
        <v>10</v>
      </c>
      <c r="G4" s="6" t="n">
        <f>IF(AND($G$2&lt;=D4,$G$2&gt;B4),1,0)</f>
        <v>0</v>
      </c>
      <c r="H4" s="6" t="n">
        <f>IF(G4=1,(F4+(G$2-B4)*E4),0)</f>
        <v>0</v>
      </c>
      <c r="I4" s="19" t="n">
        <f>I$2</f>
        <v>1</v>
      </c>
      <c r="J4" s="6" t="n">
        <f>H4*I4</f>
        <v>0</v>
      </c>
    </row>
    <row r="5" ht="14.002500000000003" customHeight="1">
      <c r="A5" s="341" t="n">
        <v>3</v>
      </c>
      <c r="B5" s="60" t="n">
        <v>20</v>
      </c>
      <c r="C5" s="341" t="s">
        <v>202</v>
      </c>
      <c r="D5" s="60" t="n">
        <v>100</v>
      </c>
      <c r="E5" s="60" t="n">
        <v>1.5</v>
      </c>
      <c r="F5" s="61" t="n">
        <v>40</v>
      </c>
      <c r="G5" s="6" t="n">
        <f>IF(AND($G$2&lt;=D5,$G$2&gt;B5),1,0)</f>
        <v>0</v>
      </c>
      <c r="H5" s="6" t="n">
        <f>IF(G5=1,(F5+(G$2-B5)*E5),0)</f>
        <v>0</v>
      </c>
      <c r="I5" s="19" t="n">
        <f>I$2</f>
        <v>1</v>
      </c>
      <c r="J5" s="6" t="n">
        <f>H5*I5</f>
        <v>0</v>
      </c>
    </row>
    <row r="6" ht="14.002500000000003" customHeight="1">
      <c r="A6" s="341" t="n">
        <v>4</v>
      </c>
      <c r="B6" s="60" t="n">
        <v>100</v>
      </c>
      <c r="C6" s="341" t="s">
        <v>202</v>
      </c>
      <c r="D6" s="60" t="n">
        <v>200</v>
      </c>
      <c r="E6" s="60" t="n">
        <v>1</v>
      </c>
      <c r="F6" s="61" t="n">
        <v>160</v>
      </c>
      <c r="G6" s="6" t="n">
        <f>IF(AND($G$2&lt;=D6,$G$2&gt;B6),1,0)</f>
        <v>0</v>
      </c>
      <c r="H6" s="6" t="n">
        <f>IF(G6=1,(F6+(G$2-B6)*E6),0)</f>
        <v>0</v>
      </c>
      <c r="I6" s="19" t="n">
        <f>I$2</f>
        <v>1</v>
      </c>
      <c r="J6" s="6" t="n">
        <f>H6*I6</f>
        <v>0</v>
      </c>
    </row>
    <row r="7" ht="14.002500000000003" customHeight="1">
      <c r="A7" s="341" t="n">
        <v>5</v>
      </c>
      <c r="B7" s="60" t="n">
        <v>200</v>
      </c>
      <c r="C7" s="341" t="s">
        <v>209</v>
      </c>
      <c r="D7" s="341"/>
      <c r="E7" s="60" t="n">
        <v>0.8</v>
      </c>
      <c r="F7" s="61" t="n">
        <v>260</v>
      </c>
      <c r="G7" s="6" t="n">
        <f>IF(G2&gt;B7,1,0)</f>
        <v>0</v>
      </c>
      <c r="H7" s="6" t="n">
        <f>IF(G7=1,MAX(F7,E7*$G$2),0)</f>
        <v>0</v>
      </c>
      <c r="I7" s="19" t="n">
        <f>I$2</f>
        <v>1</v>
      </c>
      <c r="J7" s="6" t="n">
        <f>H7*I7</f>
        <v>0</v>
      </c>
    </row>
  </sheetData>
  <mergeCells count="4">
    <mergeCell ref="B1:D2"/>
    <mergeCell ref="F1:F2"/>
    <mergeCell ref="E1:E2"/>
    <mergeCell ref="A1:A2"/>
  </mergeCells>
  <phoneticPr fontId="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002500000000003" customHeight="1"/>
  <cols>
    <col min="5" max="5" width="11.666015625" customWidth="1" style="548"/>
    <col min="6" max="8" width="11.666015625" hidden="1" customWidth="1" style="548"/>
    <col min="9" max="9" width="11.666015625" customWidth="1" style="548"/>
    <col min="11" max="13" width="11.666015625" hidden="1" customWidth="1" style="548"/>
  </cols>
  <sheetData>
    <row r="1" ht="27.649999999999995" customHeight="1">
      <c r="A1" s="473" t="s">
        <v>5</v>
      </c>
      <c r="B1" s="475" t="s">
        <v>197</v>
      </c>
      <c r="C1" s="476"/>
      <c r="D1" s="477"/>
      <c r="E1" s="341" t="s">
        <v>198</v>
      </c>
      <c r="F1" s="341"/>
      <c r="G1" s="341"/>
      <c r="H1" s="341"/>
      <c r="I1" s="489" t="s">
        <v>544</v>
      </c>
      <c r="J1" s="489" t="s">
        <v>200</v>
      </c>
      <c r="K1" s="489"/>
      <c r="L1" s="489"/>
      <c r="M1" s="489"/>
    </row>
    <row r="2" ht="13.75" customHeight="1">
      <c r="A2" s="490"/>
      <c r="B2" s="491"/>
      <c r="C2" s="340"/>
      <c r="D2" s="492"/>
      <c r="E2" s="568" t="s">
        <v>214</v>
      </c>
      <c r="F2" s="473" t="s">
        <v>215</v>
      </c>
      <c r="G2" s="473" t="s">
        <v>546</v>
      </c>
      <c r="H2" s="473" t="s">
        <v>547</v>
      </c>
      <c r="I2" s="489"/>
      <c r="J2" s="569" t="s">
        <v>214</v>
      </c>
      <c r="K2" s="6" t="s">
        <v>215</v>
      </c>
      <c r="L2" s="6" t="s">
        <v>546</v>
      </c>
      <c r="M2" s="341" t="s">
        <v>547</v>
      </c>
    </row>
    <row r="3" ht="14.002500000000003" customHeight="1">
      <c r="A3" s="474"/>
      <c r="B3" s="478"/>
      <c r="C3" s="479"/>
      <c r="D3" s="480"/>
      <c r="E3" s="489"/>
      <c r="F3" s="474"/>
      <c r="G3" s="474"/>
      <c r="H3" s="474"/>
      <c r="I3" s="13" t="n">
        <v>120000</v>
      </c>
      <c r="J3" s="14" t="n">
        <f>SUM(J4:J9)</f>
        <v>835.038001900095</v>
      </c>
      <c r="K3" s="14" t="n">
        <f>SUM(K4:K9)</f>
        <v>-133.006650332517</v>
      </c>
      <c r="L3" s="14" t="n">
        <f>SUM(L4:L9)</f>
        <v>47.001900095005</v>
      </c>
      <c r="M3" s="14" t="n">
        <f>SUM(M4:M9)</f>
        <v>-38.001900095005</v>
      </c>
    </row>
    <row r="4" ht="13.75" customHeight="1">
      <c r="A4" s="341" t="n">
        <v>1</v>
      </c>
      <c r="B4" s="341"/>
      <c r="C4" s="341" t="s">
        <v>201</v>
      </c>
      <c r="D4" s="341" t="n">
        <v>3000</v>
      </c>
      <c r="E4" s="57" t="n">
        <v>5</v>
      </c>
      <c r="F4" s="341" t="n">
        <v>1</v>
      </c>
      <c r="G4" s="341" t="n">
        <v>0.8</v>
      </c>
      <c r="H4" s="341" t="n">
        <v>0.5</v>
      </c>
      <c r="I4" s="9" t="n">
        <f>IF(I3&lt;=D4,1,0)</f>
        <v>0</v>
      </c>
      <c r="J4" s="14" t="n">
        <f>IF(I4=1,(E4/I3*D4),0)</f>
        <v>0</v>
      </c>
      <c r="K4" s="14" t="n">
        <f>IF($I4=1,(F4/$I$3*$D4),0)</f>
        <v>0</v>
      </c>
      <c r="L4" s="14" t="n">
        <f>IF($I4=1,(G4/$I$3*$D4),0)</f>
        <v>0</v>
      </c>
      <c r="M4" s="14" t="n">
        <f>IF($I4=1,(H4/$I$3*$D4),0)</f>
        <v>0</v>
      </c>
    </row>
    <row r="5" ht="14.002500000000003" customHeight="1">
      <c r="A5" s="341" t="n">
        <v>2</v>
      </c>
      <c r="B5" s="341" t="n">
        <v>3000</v>
      </c>
      <c r="C5" s="341" t="s">
        <v>202</v>
      </c>
      <c r="D5" s="341" t="n">
        <v>20000</v>
      </c>
      <c r="E5" s="57" t="n">
        <v>6</v>
      </c>
      <c r="F5" s="341" t="n">
        <v>2</v>
      </c>
      <c r="G5" s="341" t="n">
        <v>1.5</v>
      </c>
      <c r="H5" s="341" t="n">
        <v>0.8</v>
      </c>
      <c r="I5" s="9" t="n">
        <f>IF(AND($I$3&lt;=D5,$I$3&gt;B5),1,0)</f>
        <v>0</v>
      </c>
      <c r="J5" s="14" t="n">
        <f>IF($I5=1,(E5+(E6-E5)/($I$3-$B5)*($D5-$B5)),0)</f>
        <v>0</v>
      </c>
      <c r="K5" s="14" t="n">
        <f>IF($I5=1,(F5+(F6-F5)/($I$3-$B5)*($D5-$B5)),0)</f>
        <v>0</v>
      </c>
      <c r="L5" s="14" t="n">
        <f>IF($I5=1,(G5+(G6-G5)/($I$3-$B5)*($D5-$B5)),0)</f>
        <v>0</v>
      </c>
      <c r="M5" s="14" t="n">
        <f>IF($I5=1,(H5+(H6-H5)/($I$3-$B5)*($D5-$B5)),0)</f>
        <v>0</v>
      </c>
    </row>
    <row r="6" ht="13.75" customHeight="1">
      <c r="A6" s="341" t="n">
        <v>3</v>
      </c>
      <c r="B6" s="341" t="n">
        <v>20001</v>
      </c>
      <c r="C6" s="341" t="s">
        <v>202</v>
      </c>
      <c r="D6" s="341" t="n">
        <v>100000</v>
      </c>
      <c r="E6" s="57" t="n">
        <v>15</v>
      </c>
      <c r="F6" s="341" t="n">
        <v>4</v>
      </c>
      <c r="G6" s="341" t="n">
        <v>3</v>
      </c>
      <c r="H6" s="341" t="n">
        <v>1.5</v>
      </c>
      <c r="I6" s="9" t="n">
        <f>IF(AND($I$3&lt;=D6,$I$3&gt;B6),1,0)</f>
        <v>0</v>
      </c>
      <c r="J6" s="14" t="n">
        <f>IF($I6=1,(E6+(E7-E6)/($I$3-$B6)*($D6-$B6)),0)</f>
        <v>0</v>
      </c>
      <c r="K6" s="14" t="n">
        <f>IF($I6=1,(F6+(F7-F6)/($I$3-$B6)*($D6-$B6)),0)</f>
        <v>0</v>
      </c>
      <c r="L6" s="14" t="n">
        <f>IF($I6=1,(G6+(G7-G6)/($I$3-$B6)*($D6-$B6)),0)</f>
        <v>0</v>
      </c>
      <c r="M6" s="14" t="n">
        <f>IF($I6=1,(H6+(H7-H6)/($I$3-$B6)*($D6-$B6)),0)</f>
        <v>0</v>
      </c>
    </row>
    <row r="7" ht="14.002500000000003" customHeight="1">
      <c r="A7" s="341" t="n">
        <v>4</v>
      </c>
      <c r="B7" s="341" t="n">
        <v>100001</v>
      </c>
      <c r="C7" s="341" t="s">
        <v>202</v>
      </c>
      <c r="D7" s="341" t="n">
        <v>500000</v>
      </c>
      <c r="E7" s="57" t="n">
        <v>35</v>
      </c>
      <c r="F7" s="341" t="n">
        <v>7</v>
      </c>
      <c r="G7" s="341" t="n">
        <v>7</v>
      </c>
      <c r="H7" s="341" t="n">
        <v>2</v>
      </c>
      <c r="I7" s="9" t="n">
        <f>IF(AND($I$3&lt;=D7,$I$3&gt;B7),1,0)</f>
        <v>1</v>
      </c>
      <c r="J7" s="14" t="n">
        <f>IF($I7=1,(E7+(E8-E7)/($I$3-$B7)*($D7-$B7)),0)</f>
        <v>835.038001900095</v>
      </c>
      <c r="K7" s="14" t="n">
        <f>IF($I7=1,(F7+(F8-F7)/($I$3-$B7)*($D7-$B7)),0)</f>
        <v>-133.006650332517</v>
      </c>
      <c r="L7" s="14" t="n">
        <f>IF($I7=1,(G7+(G8-G7)/($I$3-$B7)*($D7-$B7)),0)</f>
        <v>47.001900095005</v>
      </c>
      <c r="M7" s="14" t="n">
        <f>IF($I7=1,(H7+(H8-H7)/($I$3-$B7)*($D7-$B7)),0)</f>
        <v>-38.001900095005</v>
      </c>
    </row>
    <row r="8" ht="13.75" customHeight="1">
      <c r="A8" s="341" t="n">
        <v>5</v>
      </c>
      <c r="B8" s="341" t="n">
        <v>500001</v>
      </c>
      <c r="C8" s="341" t="s">
        <v>202</v>
      </c>
      <c r="D8" s="341" t="n">
        <v>1000000</v>
      </c>
      <c r="E8" s="57" t="n">
        <v>75</v>
      </c>
      <c r="F8" s="341"/>
      <c r="G8" s="341" t="n">
        <v>9</v>
      </c>
      <c r="H8" s="341"/>
      <c r="I8" s="9" t="n">
        <f>IF(AND($I$3&lt;=D8,$I$3&gt;B8),1,0)</f>
        <v>0</v>
      </c>
      <c r="J8" s="14" t="n">
        <f>IF($I8=1,(E8+(E9-E8)/($I$3-$B8)*($D8-$B8)),0)</f>
        <v>0</v>
      </c>
      <c r="K8" s="14" t="n">
        <f>IF($I8=1,(F8+(F9-F8)/($I$3-$B8)*($D8-$B8)),0)</f>
        <v>0</v>
      </c>
      <c r="L8" s="14" t="n">
        <f>IF($I8=1,(G8+(G9-G8)/($I$3-$B8)*($D8-$B8)),0)</f>
        <v>0</v>
      </c>
      <c r="M8" s="14" t="n">
        <f>IF($I8=1,(H8+(H9-H8)/($I$3-$B8)*($D8-$B8)),0)</f>
        <v>0</v>
      </c>
    </row>
    <row r="9" ht="14.002500000000003" customHeight="1">
      <c r="A9" s="341" t="n">
        <v>6</v>
      </c>
      <c r="B9" s="341" t="n">
        <v>1000000</v>
      </c>
      <c r="C9" s="341" t="s">
        <v>202</v>
      </c>
      <c r="D9" s="341" t="n">
        <v>500000</v>
      </c>
      <c r="E9" s="57" t="n">
        <v>110</v>
      </c>
      <c r="F9" s="341"/>
      <c r="G9" s="341" t="n">
        <v>13</v>
      </c>
      <c r="H9" s="341"/>
      <c r="I9" s="9" t="n">
        <f>IF(AND($I$3&lt;=D9,$I$3&gt;B9),1,0)</f>
        <v>0</v>
      </c>
      <c r="J9" s="14" t="n">
        <f>IF($I9=1,(E9+(E10-E9)/($I$3-$B9)*($D9-$B9)),0)</f>
        <v>0</v>
      </c>
      <c r="K9" s="14" t="n">
        <f>IF($I9=1,(F9+(F10-F9)/($I$3-$B9)*($D9-$B9)),0)</f>
        <v>0</v>
      </c>
      <c r="L9" s="14" t="n">
        <f>IF($I9=1,(G9+(G10-G9)/($I$3-$B9)*($D9-$B9)),0)</f>
        <v>0</v>
      </c>
      <c r="M9" s="14" t="n">
        <f>IF($I9=1,(H9+(H10-H9)/($I$3-$B9)*($D9-$B9)),0)</f>
        <v>0</v>
      </c>
    </row>
  </sheetData>
  <mergeCells count="9">
    <mergeCell ref="I1:I2"/>
    <mergeCell ref="J1:M1"/>
    <mergeCell ref="B1:D3"/>
    <mergeCell ref="E1:H1"/>
    <mergeCell ref="G2:G3"/>
    <mergeCell ref="A1:A3"/>
    <mergeCell ref="F2:F3"/>
    <mergeCell ref="E2:E3"/>
    <mergeCell ref="H2:H3"/>
  </mergeCells>
  <phoneticPr fontId="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002500000000003" customHeight="1"/>
  <cols>
    <col min="5" max="5" width="11.666015625" customWidth="1" style="548"/>
    <col min="6" max="6" width="15.9990234375" customWidth="1" style="548"/>
    <col min="8" max="8" width="20.33203125" customWidth="1" style="548"/>
    <col min="9" max="10" width="11.666015625" customWidth="1" style="548"/>
    <col min="11" max="12" width="15.9990234375" customWidth="1" style="548"/>
    <col min="13" max="13" width="20.33203125" customWidth="1" style="548"/>
  </cols>
  <sheetData>
    <row r="1" ht="40.5" customHeight="1">
      <c r="A1" s="52" t="s">
        <v>548</v>
      </c>
      <c r="B1" s="53" t="s">
        <v>549</v>
      </c>
      <c r="C1" s="53" t="s">
        <v>550</v>
      </c>
      <c r="D1" s="53" t="s">
        <v>551</v>
      </c>
      <c r="E1" s="53" t="s">
        <v>552</v>
      </c>
      <c r="F1" s="53" t="s">
        <v>553</v>
      </c>
      <c r="G1" s="53"/>
      <c r="H1" s="53"/>
      <c r="I1" s="53" t="s">
        <v>554</v>
      </c>
      <c r="J1" s="53" t="s">
        <v>555</v>
      </c>
    </row>
    <row r="2" ht="27" customHeight="1">
      <c r="A2" s="54" t="s">
        <v>556</v>
      </c>
      <c r="B2" s="55" t="s">
        <v>557</v>
      </c>
      <c r="C2" s="55" t="s">
        <v>85</v>
      </c>
      <c r="D2" s="55" t="s">
        <v>558</v>
      </c>
      <c r="E2" s="55" t="s">
        <v>559</v>
      </c>
      <c r="F2" s="55" t="s">
        <v>560</v>
      </c>
      <c r="G2" s="55"/>
      <c r="H2" s="55"/>
      <c r="I2" s="55" t="s">
        <v>555</v>
      </c>
      <c r="J2" s="55" t="s">
        <v>561</v>
      </c>
    </row>
    <row r="3" ht="40.5" customHeight="1">
      <c r="A3" s="56" t="s">
        <v>562</v>
      </c>
      <c r="B3" s="55" t="s">
        <v>563</v>
      </c>
      <c r="C3" s="55" t="s">
        <v>564</v>
      </c>
      <c r="D3" s="55" t="s">
        <v>565</v>
      </c>
      <c r="E3" s="55" t="s">
        <v>566</v>
      </c>
      <c r="F3" s="55" t="s">
        <v>567</v>
      </c>
      <c r="G3" s="55"/>
      <c r="H3" s="55"/>
      <c r="I3" s="55" t="s">
        <v>568</v>
      </c>
      <c r="J3" s="58" t="s">
        <v>569</v>
      </c>
    </row>
    <row r="4" ht="40.5" customHeight="1">
      <c r="A4" s="56" t="s">
        <v>570</v>
      </c>
      <c r="B4" s="55" t="s">
        <v>571</v>
      </c>
      <c r="C4" s="55" t="s">
        <v>572</v>
      </c>
      <c r="D4" s="55" t="s">
        <v>573</v>
      </c>
      <c r="E4" s="55" t="s">
        <v>574</v>
      </c>
      <c r="F4" s="55" t="s">
        <v>575</v>
      </c>
      <c r="G4" s="55"/>
      <c r="H4" s="55"/>
      <c r="I4" s="55" t="s">
        <v>576</v>
      </c>
      <c r="J4" s="58" t="s">
        <v>577</v>
      </c>
    </row>
    <row r="5" ht="40.5" customHeight="1">
      <c r="A5" s="56" t="s">
        <v>578</v>
      </c>
      <c r="B5" s="55" t="s">
        <v>579</v>
      </c>
      <c r="C5" s="55" t="s">
        <v>563</v>
      </c>
      <c r="D5" s="55" t="s">
        <v>580</v>
      </c>
      <c r="E5" s="55" t="s">
        <v>581</v>
      </c>
      <c r="F5" s="55" t="s">
        <v>582</v>
      </c>
      <c r="G5" s="55"/>
      <c r="H5" s="55"/>
      <c r="I5" s="55" t="s">
        <v>583</v>
      </c>
      <c r="J5" s="58" t="s">
        <v>584</v>
      </c>
    </row>
    <row r="6" ht="40.5" customHeight="1">
      <c r="A6" s="56" t="s">
        <v>585</v>
      </c>
      <c r="B6" s="55" t="s">
        <v>586</v>
      </c>
      <c r="C6" s="55" t="s">
        <v>587</v>
      </c>
      <c r="D6" s="55" t="s">
        <v>588</v>
      </c>
      <c r="E6" s="55" t="s">
        <v>589</v>
      </c>
      <c r="F6" s="55" t="s">
        <v>590</v>
      </c>
      <c r="G6" s="55"/>
      <c r="H6" s="55"/>
      <c r="I6" s="55" t="s">
        <v>591</v>
      </c>
      <c r="J6" s="58" t="s">
        <v>592</v>
      </c>
    </row>
    <row r="7" ht="27" customHeight="1">
      <c r="A7" s="56" t="s">
        <v>593</v>
      </c>
      <c r="B7" s="493" t="s">
        <v>594</v>
      </c>
      <c r="C7" s="493"/>
      <c r="D7" s="493"/>
      <c r="E7" s="493"/>
      <c r="F7" s="493"/>
      <c r="G7" s="493"/>
      <c r="H7" s="493"/>
      <c r="I7" s="493"/>
      <c r="J7" s="494"/>
    </row>
    <row r="8" ht="14.002500000000003" customHeight="1">
      <c r="A8" s="478" t="s">
        <v>232</v>
      </c>
      <c r="B8" s="479"/>
      <c r="C8" s="479"/>
      <c r="D8" s="479"/>
      <c r="E8" s="479"/>
      <c r="F8" s="479"/>
      <c r="G8" s="479"/>
      <c r="H8" s="479"/>
      <c r="I8" s="479"/>
      <c r="J8" s="479"/>
      <c r="K8" s="479"/>
      <c r="L8" s="479"/>
      <c r="M8" s="479"/>
    </row>
    <row r="9" ht="27.649999999999995" customHeight="1">
      <c r="A9" s="473" t="s">
        <v>5</v>
      </c>
      <c r="B9" s="475" t="s">
        <v>197</v>
      </c>
      <c r="C9" s="476"/>
      <c r="D9" s="477"/>
      <c r="E9" s="475" t="s">
        <v>198</v>
      </c>
      <c r="F9" s="476"/>
      <c r="G9" s="476"/>
      <c r="H9" s="477"/>
      <c r="I9" s="489" t="s">
        <v>544</v>
      </c>
      <c r="J9" s="341" t="s">
        <v>200</v>
      </c>
      <c r="K9" s="341"/>
      <c r="L9" s="341"/>
      <c r="M9" s="341"/>
    </row>
    <row r="10" ht="14.002500000000003" customHeight="1">
      <c r="A10" s="490"/>
      <c r="B10" s="491"/>
      <c r="C10" s="340"/>
      <c r="D10" s="492"/>
      <c r="E10" s="478"/>
      <c r="F10" s="479"/>
      <c r="G10" s="479"/>
      <c r="H10" s="480"/>
      <c r="I10" s="489"/>
      <c r="J10" s="341" t="s">
        <v>595</v>
      </c>
      <c r="K10" s="6" t="s">
        <v>596</v>
      </c>
      <c r="L10" s="6" t="s">
        <v>597</v>
      </c>
      <c r="M10" s="341" t="s">
        <v>598</v>
      </c>
    </row>
    <row r="11" ht="14.002500000000003" customHeight="1">
      <c r="A11" s="474"/>
      <c r="B11" s="478"/>
      <c r="C11" s="479"/>
      <c r="D11" s="480"/>
      <c r="E11" s="341" t="s">
        <v>595</v>
      </c>
      <c r="F11" s="6" t="s">
        <v>596</v>
      </c>
      <c r="G11" s="6" t="s">
        <v>597</v>
      </c>
      <c r="H11" s="341" t="s">
        <v>598</v>
      </c>
      <c r="I11" s="13" t="n">
        <v>5600</v>
      </c>
      <c r="J11" s="14" t="n">
        <f>SUM(J12:J18)</f>
        <v>27.5436706425549</v>
      </c>
      <c r="K11" s="14" t="n">
        <f>SUM(K12:K18)</f>
        <v>55.0873412851096</v>
      </c>
      <c r="L11" s="14" t="n">
        <f>SUM(L12:L18)</f>
        <v>14.7718353212774</v>
      </c>
      <c r="M11" s="14" t="n">
        <f>SUM(M12:M18)</f>
        <v>18.4647941515968</v>
      </c>
    </row>
    <row r="12" ht="13.75" customHeight="1">
      <c r="A12" s="341" t="n">
        <v>1</v>
      </c>
      <c r="B12" s="341"/>
      <c r="C12" s="341" t="s">
        <v>201</v>
      </c>
      <c r="D12" s="341" t="n">
        <v>1000</v>
      </c>
      <c r="E12" s="57" t="n">
        <v>2</v>
      </c>
      <c r="F12" s="341" t="n">
        <v>3</v>
      </c>
      <c r="G12" s="341" t="n">
        <v>1</v>
      </c>
      <c r="H12" s="341" t="n">
        <v>1.5</v>
      </c>
      <c r="I12" s="9" t="n">
        <f>IF(I11&lt;=D12,1,0)</f>
        <v>0</v>
      </c>
      <c r="J12" s="14" t="n">
        <f>IF(I12=1,(E12/I11*D12),0)</f>
        <v>0</v>
      </c>
      <c r="K12" s="14" t="n">
        <f>IF($I12=1,(F12/$I$11*$D12),0)</f>
        <v>0</v>
      </c>
      <c r="L12" s="14" t="n">
        <f>IF($I12=1,(G12/$I$11*$D12),0)</f>
        <v>0</v>
      </c>
      <c r="M12" s="14" t="n">
        <f>IF($I12=1,(H12/$I$11*$D12),0)</f>
        <v>0</v>
      </c>
    </row>
    <row r="13" ht="14.002500000000003" customHeight="1">
      <c r="A13" s="341" t="n">
        <v>2</v>
      </c>
      <c r="B13" s="341" t="n">
        <v>1001</v>
      </c>
      <c r="C13" s="341" t="s">
        <v>202</v>
      </c>
      <c r="D13" s="341" t="n">
        <v>3000</v>
      </c>
      <c r="E13" s="57" t="n">
        <v>4</v>
      </c>
      <c r="F13" s="341" t="n">
        <v>6</v>
      </c>
      <c r="G13" s="341" t="n">
        <v>2</v>
      </c>
      <c r="H13" s="341" t="n">
        <v>3</v>
      </c>
      <c r="I13" s="9" t="n">
        <f>IF(AND($I$11&lt;=D13,$I$11&gt;B13),1,0)</f>
        <v>0</v>
      </c>
      <c r="J13" s="14" t="n">
        <f>IF($I13=1,(E13+(E14-E13)/($I$11-$B13)*($D13-$B13)),0)</f>
        <v>0</v>
      </c>
      <c r="K13" s="14" t="n">
        <f>IF($I13=1,(F13+(F14-F13)/($I$11-$B13)*($D13-$B13)),0)</f>
        <v>0</v>
      </c>
      <c r="L13" s="14" t="n">
        <f>IF($I13=1,(G13+(G14-G13)/($I$11-$B13)*($D13-$B13)),0)</f>
        <v>0</v>
      </c>
      <c r="M13" s="14" t="n">
        <f>IF($I13=1,(H13+(H14-H13)/($I$11-$B13)*($D13-$B13)),0)</f>
        <v>0</v>
      </c>
    </row>
    <row r="14" ht="14.002500000000003" customHeight="1">
      <c r="A14" s="341" t="n">
        <v>3</v>
      </c>
      <c r="B14" s="341" t="n">
        <v>3001</v>
      </c>
      <c r="C14" s="341" t="s">
        <v>202</v>
      </c>
      <c r="D14" s="341" t="n">
        <v>10000</v>
      </c>
      <c r="E14" s="57" t="n">
        <v>6</v>
      </c>
      <c r="F14" s="341" t="n">
        <v>12</v>
      </c>
      <c r="G14" s="341" t="n">
        <v>4</v>
      </c>
      <c r="H14" s="341" t="n">
        <v>5</v>
      </c>
      <c r="I14" s="9" t="n">
        <f>IF(AND($I$11&lt;=D14,$I$11&gt;B14),1,0)</f>
        <v>1</v>
      </c>
      <c r="J14" s="14" t="n">
        <f>IF($I14=1,(E14+(E15-E14)/($I$11-$B14)*($D14-$B14)),0)</f>
        <v>27.5436706425549</v>
      </c>
      <c r="K14" s="14" t="n">
        <f>IF($I14=1,(F14+(F15-F14)/($I$11-$B14)*($D14-$B14)),0)</f>
        <v>55.0873412851096</v>
      </c>
      <c r="L14" s="14" t="n">
        <f>IF($I14=1,(G14+(G15-G14)/($I$11-$B14)*($D14-$B14)),0)</f>
        <v>14.7718353212774</v>
      </c>
      <c r="M14" s="14" t="n">
        <f>IF($I14=1,(H14+(H15-H14)/($I$11-$B14)*($D14-$B14)),0)</f>
        <v>18.4647941515968</v>
      </c>
    </row>
    <row r="15" ht="14.002500000000003" customHeight="1">
      <c r="A15" s="341" t="n">
        <v>4</v>
      </c>
      <c r="B15" s="341" t="n">
        <v>10001</v>
      </c>
      <c r="C15" s="341" t="s">
        <v>202</v>
      </c>
      <c r="D15" s="341" t="n">
        <v>50000</v>
      </c>
      <c r="E15" s="57" t="n">
        <v>14</v>
      </c>
      <c r="F15" s="341" t="n">
        <v>28</v>
      </c>
      <c r="G15" s="341" t="n">
        <v>8</v>
      </c>
      <c r="H15" s="341" t="n">
        <v>10</v>
      </c>
      <c r="I15" s="9" t="n">
        <f>IF(AND($I$11&lt;=D15,$I$11&gt;B15),1,0)</f>
        <v>0</v>
      </c>
      <c r="J15" s="14" t="n">
        <f>IF($I15=1,(E15+(E16-E15)/($I$11-$B15)*($D15-$B15)),0)</f>
        <v>0</v>
      </c>
      <c r="K15" s="14" t="n">
        <f>IF($I15=1,(F15+(F16-F15)/($I$11-$B15)*($D15-$B15)),0)</f>
        <v>0</v>
      </c>
      <c r="L15" s="14" t="n">
        <f>IF($I15=1,(G15+(G16-G15)/($I$11-$B15)*($D15-$B15)),0)</f>
        <v>0</v>
      </c>
      <c r="M15" s="14" t="n">
        <f>IF($I15=1,(H15+(H16-H15)/($I$11-$B15)*($D15-$B15)),0)</f>
        <v>0</v>
      </c>
    </row>
    <row r="16" ht="14.002500000000003" customHeight="1">
      <c r="A16" s="341" t="n">
        <v>5</v>
      </c>
      <c r="B16" s="341" t="n">
        <v>50001</v>
      </c>
      <c r="C16" s="341" t="s">
        <v>202</v>
      </c>
      <c r="D16" s="341" t="n">
        <v>100000</v>
      </c>
      <c r="E16" s="57" t="n">
        <v>37</v>
      </c>
      <c r="F16" s="341" t="n">
        <v>75</v>
      </c>
      <c r="G16" s="341" t="n">
        <v>12</v>
      </c>
      <c r="H16" s="341" t="n">
        <v>15</v>
      </c>
      <c r="I16" s="9" t="n">
        <f>IF(AND($I$11&lt;=D16,$I$11&gt;B16),1,0)</f>
        <v>0</v>
      </c>
      <c r="J16" s="14" t="n">
        <f>IF($I16=1,(E16+(E17-E16)/($I$11-$B16)*($D16-$B16)),0)</f>
        <v>0</v>
      </c>
      <c r="K16" s="14" t="n">
        <f>IF($I16=1,(F16+(F17-F16)/($I$11-$B16)*($D16-$B16)),0)</f>
        <v>0</v>
      </c>
      <c r="L16" s="14" t="n">
        <f>IF($I16=1,(G16+(G17-G16)/($I$11-$B16)*($D16-$B16)),0)</f>
        <v>0</v>
      </c>
      <c r="M16" s="14" t="n">
        <f>IF($I16=1,(H16+(H17-H16)/($I$11-$B16)*($D16-$B16)),0)</f>
        <v>0</v>
      </c>
    </row>
    <row r="17" ht="14.002500000000003" customHeight="1">
      <c r="A17" s="341" t="n">
        <v>6</v>
      </c>
      <c r="B17" s="341" t="n">
        <v>100000</v>
      </c>
      <c r="C17" s="341" t="s">
        <v>202</v>
      </c>
      <c r="D17" s="341" t="n">
        <v>500000</v>
      </c>
      <c r="E17" s="57" t="n">
        <v>55</v>
      </c>
      <c r="F17" s="341" t="n">
        <v>110</v>
      </c>
      <c r="G17" s="341" t="n">
        <v>15</v>
      </c>
      <c r="H17" s="341" t="n">
        <v>20</v>
      </c>
      <c r="I17" s="9" t="n">
        <f>IF(AND($I$11&lt;=D17,$I$11&gt;B17),1,0)</f>
        <v>0</v>
      </c>
      <c r="J17" s="14" t="n">
        <f>IF($I17=1,(E17+(E18-E17)/($I$11-$B17)*($D17-$B17)),0)</f>
        <v>0</v>
      </c>
      <c r="K17" s="14" t="n">
        <f>IF($I17=1,(F17+(F18-F17)/($I$11-$B17)*($D17-$B17)),0)</f>
        <v>0</v>
      </c>
      <c r="L17" s="14" t="n">
        <f>IF($I17=1,(G17+(G18-G17)/($I$11-$B17)*($D17-$B17)),0)</f>
        <v>0</v>
      </c>
      <c r="M17" s="14" t="n">
        <f>IF($I17=1,(H17+(H18-H17)/($I$11-$B17)*($D17-$B17)),0)</f>
        <v>0</v>
      </c>
    </row>
    <row r="18" ht="14.002500000000003" customHeight="1">
      <c r="A18" s="341" t="n">
        <v>7</v>
      </c>
      <c r="B18" s="341" t="n">
        <v>500000</v>
      </c>
      <c r="C18" s="341"/>
      <c r="D18" s="6"/>
      <c r="E18" s="341" t="n">
        <v>100</v>
      </c>
      <c r="F18" s="341" t="n">
        <v>200</v>
      </c>
      <c r="G18" s="341" t="n">
        <v>17</v>
      </c>
      <c r="H18" s="341" t="n">
        <v>25</v>
      </c>
      <c r="I18" s="9" t="n">
        <f>IF(AND($I$11&gt;B18),1,0)</f>
        <v>0</v>
      </c>
      <c r="J18" s="14" t="n">
        <f>IF($I18=1,(E18+(E19-E18)/($I$11-$B18)*($D18-$B18)),0)</f>
        <v>0</v>
      </c>
      <c r="K18" s="14" t="n">
        <f>IF($I18=1,(F18+(F19-F18)/($I$11-$B18)*($D18-$B18)),0)</f>
        <v>0</v>
      </c>
      <c r="L18" s="14" t="n">
        <f>IF($I18=1,(G18+(G19-G18)/($I$11-$B18)*($D18-$B18)),0)</f>
        <v>0</v>
      </c>
      <c r="M18" s="14" t="n">
        <f>IF($I18=1,(H18+(H19-H18)/($I$11-$B18)*($D18-$B18)),0)</f>
        <v>0</v>
      </c>
    </row>
    <row r="19" ht="14.002500000000003" customHeight="1">
      <c r="A19" s="6"/>
      <c r="B19" s="6"/>
      <c r="C19" s="6"/>
      <c r="D19" s="6"/>
      <c r="E19" s="341" t="n">
        <v>125</v>
      </c>
      <c r="F19" s="341" t="n">
        <v>250</v>
      </c>
      <c r="G19" s="341" t="n">
        <v>20</v>
      </c>
      <c r="H19" s="341" t="n">
        <v>35</v>
      </c>
      <c r="I19" s="6"/>
      <c r="J19" s="6"/>
      <c r="K19" s="6"/>
      <c r="L19" s="6"/>
      <c r="M19" s="6"/>
    </row>
  </sheetData>
  <mergeCells count="7">
    <mergeCell ref="J9:M9"/>
    <mergeCell ref="E9:H10"/>
    <mergeCell ref="A9:A11"/>
    <mergeCell ref="B7:J7"/>
    <mergeCell ref="I9:I10"/>
    <mergeCell ref="A8:M8"/>
    <mergeCell ref="B9:D11"/>
  </mergeCells>
  <phoneticPr fontId="1"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7" max="7" width="13.8310546875" customWidth="1" style="548"/>
  </cols>
  <sheetData>
    <row r="1" ht="14.002500000000003" customHeight="1">
      <c r="A1" s="341" t="s">
        <v>232</v>
      </c>
      <c r="B1" s="341"/>
      <c r="C1" s="341"/>
      <c r="D1" s="341"/>
      <c r="E1" s="341"/>
      <c r="F1" s="341"/>
      <c r="G1" s="341" t="s">
        <v>599</v>
      </c>
      <c r="H1" s="341" t="s">
        <v>234</v>
      </c>
    </row>
    <row r="2" ht="14.002500000000003" customHeight="1">
      <c r="A2" s="341" t="s">
        <v>5</v>
      </c>
      <c r="B2" s="341" t="s">
        <v>197</v>
      </c>
      <c r="C2" s="341"/>
      <c r="D2" s="341"/>
      <c r="E2" s="341" t="s">
        <v>235</v>
      </c>
      <c r="F2" s="341" t="s">
        <v>236</v>
      </c>
      <c r="G2" s="13" t="n">
        <f>'其他费自动计算'!C2</f>
        <v>3992.88</v>
      </c>
      <c r="H2" s="14" t="n">
        <f>SUM(H3:H6)</f>
        <v>5.391456</v>
      </c>
    </row>
    <row r="3" ht="14.002500000000003" customHeight="1">
      <c r="A3" s="341" t="n">
        <v>1</v>
      </c>
      <c r="B3" s="341"/>
      <c r="C3" s="341" t="s">
        <v>201</v>
      </c>
      <c r="D3" s="341" t="n">
        <v>500</v>
      </c>
      <c r="E3" s="51" t="n">
        <v>0.002</v>
      </c>
      <c r="F3" s="20" t="n">
        <f>E3*D3</f>
        <v>1</v>
      </c>
      <c r="G3" s="9" t="n">
        <f>IF($G$2&lt;=D3,1,0)</f>
        <v>0</v>
      </c>
      <c r="H3" s="14" t="n">
        <f>IF(G3=1,(G2*E3),0)</f>
        <v>0</v>
      </c>
    </row>
    <row r="4" ht="14.002500000000003" customHeight="1">
      <c r="A4" s="341" t="n">
        <v>2</v>
      </c>
      <c r="B4" s="341" t="n">
        <v>500</v>
      </c>
      <c r="C4" s="341" t="s">
        <v>202</v>
      </c>
      <c r="D4" s="341" t="n">
        <v>1000</v>
      </c>
      <c r="E4" s="51" t="n">
        <v>0.0016</v>
      </c>
      <c r="F4" s="20" t="n">
        <f>F3+(D4-B4)*E4</f>
        <v>1.8</v>
      </c>
      <c r="G4" s="9" t="n">
        <f>IF(AND($G$2&lt;=D4,$G$2&gt;B4),1,0)</f>
        <v>0</v>
      </c>
      <c r="H4" s="14" t="n">
        <f>IF(G4=1,(F3+($G$2-D3)*E4),0)</f>
        <v>0</v>
      </c>
    </row>
    <row r="5" ht="14.002500000000003" customHeight="1">
      <c r="A5" s="341" t="n">
        <v>3</v>
      </c>
      <c r="B5" s="341" t="n">
        <v>1000</v>
      </c>
      <c r="C5" s="341" t="s">
        <v>202</v>
      </c>
      <c r="D5" s="341" t="n">
        <v>5000</v>
      </c>
      <c r="E5" s="51" t="n">
        <v>0.0012</v>
      </c>
      <c r="F5" s="20" t="n">
        <f>F4+(D5-B5)*E5</f>
        <v>6.6</v>
      </c>
      <c r="G5" s="9" t="n">
        <f>IF(AND($G$2&lt;=D5,$G$2&gt;B5),1,0)</f>
        <v>1</v>
      </c>
      <c r="H5" s="14" t="n">
        <f>IF(G5=1,(F4+($G$2-D4)*E5),0)</f>
        <v>5.391456</v>
      </c>
    </row>
    <row r="6" ht="14.002500000000003" customHeight="1">
      <c r="A6" s="341" t="n">
        <v>4</v>
      </c>
      <c r="B6" s="341" t="n">
        <v>5000</v>
      </c>
      <c r="C6" s="341" t="s">
        <v>209</v>
      </c>
      <c r="D6" s="6"/>
      <c r="E6" s="51" t="n">
        <v>0.001</v>
      </c>
      <c r="F6" s="20"/>
      <c r="G6" s="9" t="n">
        <f>IF(AND($G$2&gt;B6),1,0)</f>
        <v>0</v>
      </c>
      <c r="H6" s="14" t="n">
        <f>IF(G6=1,(F5+($G$2-B6)*E6),0)</f>
        <v>0</v>
      </c>
    </row>
  </sheetData>
  <mergeCells count="2">
    <mergeCell ref="B2:D2"/>
    <mergeCell ref="A1:E1"/>
  </mergeCells>
  <phoneticPr fontId="1"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002500000000003" customHeight="1"/>
  <cols>
    <col min="1" max="1" width="19.3330078125" customWidth="1" style="548"/>
    <col min="3" max="4" width="8.4990234375" customWidth="1" style="548"/>
    <col min="12" max="12" width="13.8310546875" customWidth="1" style="548"/>
    <col min="13" max="13" width="6.498046875" customWidth="1" style="548"/>
  </cols>
  <sheetData>
    <row r="1" ht="14.002500000000003" customHeight="1">
      <c r="A1" s="519" t="s">
        <v>600</v>
      </c>
      <c r="B1" s="520"/>
      <c r="C1" s="521"/>
      <c r="D1" s="23"/>
      <c r="E1" s="511" t="s">
        <v>601</v>
      </c>
      <c r="F1" s="521"/>
      <c r="G1" s="511" t="s">
        <v>205</v>
      </c>
      <c r="H1" s="521"/>
      <c r="I1" s="511" t="s">
        <v>206</v>
      </c>
      <c r="J1" s="521"/>
      <c r="K1" s="511" t="s">
        <v>207</v>
      </c>
      <c r="L1" s="521"/>
      <c r="M1" s="511" t="s">
        <v>208</v>
      </c>
      <c r="N1" s="512"/>
      <c r="O1" s="47"/>
      <c r="P1" s="47"/>
    </row>
    <row r="2" ht="14.002500000000003" customHeight="1">
      <c r="A2" s="513" t="s">
        <v>602</v>
      </c>
      <c r="B2" s="514"/>
      <c r="C2" s="500"/>
      <c r="D2" s="24"/>
      <c r="E2" s="515" t="n">
        <v>600</v>
      </c>
      <c r="F2" s="516"/>
      <c r="G2" s="515" t="n">
        <v>600</v>
      </c>
      <c r="H2" s="516"/>
      <c r="I2" s="517" t="n">
        <f>'其他费自动计算'!C16</f>
        <v>133.636044</v>
      </c>
      <c r="J2" s="516"/>
      <c r="K2" s="517" t="n">
        <v>600</v>
      </c>
      <c r="L2" s="516"/>
      <c r="M2" s="515" t="n">
        <v>300</v>
      </c>
      <c r="N2" s="518"/>
      <c r="O2" s="47"/>
      <c r="P2" s="47"/>
    </row>
    <row r="3" ht="14.002500000000003" customHeight="1">
      <c r="A3" s="25" t="s">
        <v>603</v>
      </c>
      <c r="B3" s="26" t="n">
        <v>100</v>
      </c>
      <c r="C3" s="26" t="n">
        <v>100</v>
      </c>
      <c r="D3" s="26"/>
      <c r="E3" s="27" t="n">
        <v>0.015</v>
      </c>
      <c r="F3" s="28" t="n">
        <f>IF(E$2&gt;=$B3,$C3*E3,E$2*E3)</f>
        <v>1.5</v>
      </c>
      <c r="G3" s="27" t="n">
        <v>0.015</v>
      </c>
      <c r="H3" s="29" t="n">
        <f>IF(G$2&gt;=$B3,$C3*G3,G$2*G3)</f>
        <v>1.5</v>
      </c>
      <c r="I3" s="27" t="n">
        <v>0.015</v>
      </c>
      <c r="J3" s="29" t="n">
        <f>IF(I$2&gt;=$B3,$C3*I3,I$2*I3)</f>
        <v>1.5</v>
      </c>
      <c r="K3" s="27" t="n">
        <v>0.015</v>
      </c>
      <c r="L3" s="29" t="n">
        <f>IF(K$2&gt;=$B3,$C3*K3,K$2*K3)</f>
        <v>1.5</v>
      </c>
      <c r="M3" s="27" t="n">
        <v>0.01</v>
      </c>
      <c r="N3" s="48" t="n">
        <f>IF(M$2&gt;=$B3,$C3*M3,M$2*M3)</f>
        <v>1</v>
      </c>
      <c r="O3" s="47"/>
      <c r="P3" s="47"/>
    </row>
    <row r="4" ht="14.002500000000003" customHeight="1">
      <c r="A4" s="30" t="s">
        <v>604</v>
      </c>
      <c r="B4" s="31" t="n">
        <v>500</v>
      </c>
      <c r="C4" s="31" t="n">
        <v>400</v>
      </c>
      <c r="D4" s="31"/>
      <c r="E4" s="32" t="n">
        <v>0.011</v>
      </c>
      <c r="F4" s="33" t="n">
        <f>IF(E$2&lt;$B3,0,IF(E$2&gt;=$B4,$C4*E4,(E$2-$B3)*E4))</f>
        <v>4.4</v>
      </c>
      <c r="G4" s="32" t="n">
        <v>0.008</v>
      </c>
      <c r="H4" s="34" t="n">
        <f>IF(G$2&lt;$B3,0,IF(G$2&gt;=$B4,$C4*G4,(G$2-$B3)*G4))</f>
        <v>3.2</v>
      </c>
      <c r="I4" s="32" t="n">
        <v>0.008</v>
      </c>
      <c r="J4" s="34" t="n">
        <f>IF(I$2&lt;$B3,0,IF(I$2&gt;=$B4,$C4*I4,(I$2-$B3)*I4))</f>
        <v>0.269088352</v>
      </c>
      <c r="K4" s="32" t="n">
        <v>0.008</v>
      </c>
      <c r="L4" s="34" t="n">
        <f>IF(K$2&lt;$B3,0,IF(K$2&gt;=$B4,$C4*K4,(K$2-$B3)*K4))</f>
        <v>3.2</v>
      </c>
      <c r="M4" s="32" t="n">
        <v>0.007</v>
      </c>
      <c r="N4" s="49" t="n">
        <f>IF(M$2&lt;$B3,0,IF(M$2&gt;=$B4,$C4*M4,(M$2-$B3)*M4))</f>
        <v>1.4</v>
      </c>
      <c r="O4" s="47"/>
      <c r="P4" s="47"/>
    </row>
    <row r="5" ht="14.002500000000003" customHeight="1">
      <c r="A5" s="30" t="s">
        <v>605</v>
      </c>
      <c r="B5" s="31" t="n">
        <v>1000</v>
      </c>
      <c r="C5" s="31" t="n">
        <v>500</v>
      </c>
      <c r="D5" s="31"/>
      <c r="E5" s="32" t="n">
        <v>0.008</v>
      </c>
      <c r="F5" s="33" t="n">
        <f>IF(E$2&lt;$B4,0,IF(E$2&gt;=$B5,$C5*E5,(E$2-$B4)*E5))</f>
        <v>0.8</v>
      </c>
      <c r="G5" s="32" t="n">
        <v>0.0045</v>
      </c>
      <c r="H5" s="34" t="n">
        <f>IF(G$2&lt;$B4,0,IF(G$2&gt;=$B5,$C5*G5,(G$2-$B4)*G5))</f>
        <v>0.45</v>
      </c>
      <c r="I5" s="32" t="n">
        <v>0.0045</v>
      </c>
      <c r="J5" s="34" t="n">
        <f>IF(I$2&lt;$B4,0,IF(I$2&gt;=$B5,$C5*I5,(I$2-$B4)*I5))</f>
        <v>0</v>
      </c>
      <c r="K5" s="32" t="n">
        <v>0.0045</v>
      </c>
      <c r="L5" s="34" t="n">
        <f>IF(K$2&lt;$B4,0,IF(K$2&gt;=$B5,$C5*K5,(K$2-$B4)*K5))</f>
        <v>0.45</v>
      </c>
      <c r="M5" s="32" t="n">
        <v>0.0055</v>
      </c>
      <c r="N5" s="49" t="n">
        <f>IF(M$2&lt;$B4,0,IF(M$2&gt;=$B5,$C5*M5,(M$2-$B4)*M5))</f>
        <v>0</v>
      </c>
      <c r="O5" s="47"/>
      <c r="P5" s="47"/>
    </row>
    <row r="6" ht="14.002500000000003" customHeight="1">
      <c r="A6" s="30" t="s">
        <v>606</v>
      </c>
      <c r="B6" s="31" t="n">
        <v>5000</v>
      </c>
      <c r="C6" s="31" t="n">
        <v>4000</v>
      </c>
      <c r="D6" s="31"/>
      <c r="E6" s="32" t="n">
        <v>0.005</v>
      </c>
      <c r="F6" s="33" t="n">
        <f>IF(E$2&lt;$B5,0,IF(E$2&gt;=$B6,$C6*E6,(E$2-$B5)*E6))</f>
        <v>0</v>
      </c>
      <c r="G6" s="32" t="n">
        <v>0.0025</v>
      </c>
      <c r="H6" s="34" t="n">
        <f>IF(G$2&lt;$B5,0,IF(G$2&gt;=$B6,$C6*G6,(G$2-$B5)*G6))</f>
        <v>0</v>
      </c>
      <c r="I6" s="32" t="n">
        <v>0.0025</v>
      </c>
      <c r="J6" s="34" t="n">
        <f>IF(I$2&lt;$B5,0,IF(I$2&gt;=$B6,$C6*I6,(I$2-$B5)*I6))</f>
        <v>0</v>
      </c>
      <c r="K6" s="32" t="n">
        <v>0.0025</v>
      </c>
      <c r="L6" s="34" t="n">
        <f>IF(K$2&lt;$B5,0,IF(K$2&gt;=$B6,$C6*K6,(K$2-$B5)*K6))</f>
        <v>0</v>
      </c>
      <c r="M6" s="32" t="n">
        <v>0.0035</v>
      </c>
      <c r="N6" s="49" t="n">
        <f>IF(M$2&lt;$B5,0,IF(M$2&gt;=$B6,$C6*M6,(M$2-$B5)*M6))</f>
        <v>0</v>
      </c>
      <c r="O6" s="47"/>
      <c r="P6" s="47"/>
    </row>
    <row r="7" ht="14.002500000000003" customHeight="1">
      <c r="A7" s="30" t="s">
        <v>607</v>
      </c>
      <c r="B7" s="31" t="n">
        <v>10000</v>
      </c>
      <c r="C7" s="31" t="n">
        <v>5000</v>
      </c>
      <c r="D7" s="31"/>
      <c r="E7" s="32" t="n">
        <v>0.0025</v>
      </c>
      <c r="F7" s="33" t="n">
        <f>IF(E$2&lt;$B6,0,IF(E$2&gt;=$B7,$C7*E7,(E$2-$B6)*E7))</f>
        <v>0</v>
      </c>
      <c r="G7" s="32" t="n">
        <v>0.001</v>
      </c>
      <c r="H7" s="34" t="n">
        <f>IF(G$2&lt;$B6,0,IF(G$2&gt;=$B7,$C7*G7,(G$2-$B6)*G7))</f>
        <v>0</v>
      </c>
      <c r="I7" s="32" t="n">
        <v>0.001</v>
      </c>
      <c r="J7" s="34" t="n">
        <f>IF(I$2&lt;$B6,0,IF(I$2&gt;=$B7,$C7*I7,(I$2-$B6)*I7))</f>
        <v>0</v>
      </c>
      <c r="K7" s="32" t="n">
        <v>0.001</v>
      </c>
      <c r="L7" s="34" t="n">
        <f>IF(K$2&lt;$B6,0,IF(K$2&gt;=$B7,$C7*K7,(K$2-$B6)*K7))</f>
        <v>0</v>
      </c>
      <c r="M7" s="32" t="n">
        <v>0.002</v>
      </c>
      <c r="N7" s="49" t="n">
        <f>IF(M$2&lt;$B6,0,IF(M$2&gt;=$B7,$C7*M7,(M$2-$B6)*M7))</f>
        <v>0</v>
      </c>
      <c r="O7" s="47"/>
      <c r="P7" s="47"/>
    </row>
    <row r="8" ht="14.002500000000003" customHeight="1">
      <c r="A8" s="30" t="s">
        <v>608</v>
      </c>
      <c r="B8" s="31" t="n">
        <v>100000</v>
      </c>
      <c r="C8" s="31" t="n">
        <v>90000</v>
      </c>
      <c r="D8" s="31"/>
      <c r="E8" s="32" t="n">
        <v>0.0005</v>
      </c>
      <c r="F8" s="33" t="n">
        <f>IF(E$2&lt;$B7,0,IF(E$2&gt;=$B8,$C8*E8,(E$2-$B7)*E8))</f>
        <v>0</v>
      </c>
      <c r="G8" s="32" t="n">
        <v>0.0005</v>
      </c>
      <c r="H8" s="34" t="n">
        <f>IF(G$2&lt;$B7,0,IF(G$2&gt;=$B8,$C8*G8,(G$2-$B7)*G8))</f>
        <v>0</v>
      </c>
      <c r="I8" s="32" t="n">
        <v>0.0005</v>
      </c>
      <c r="J8" s="34" t="n">
        <f>IF(I$2&lt;$B7,0,IF(I$2&gt;=$B8,$C8*I8,(I$2-$B7)*I8))</f>
        <v>0</v>
      </c>
      <c r="K8" s="32" t="n">
        <v>0.0005</v>
      </c>
      <c r="L8" s="34" t="n">
        <f>IF(K$2&lt;$B7,0,IF(K$2&gt;=$B8,$C8*K8,(K$2-$B7)*K8))</f>
        <v>0</v>
      </c>
      <c r="M8" s="32" t="n">
        <v>0.0005</v>
      </c>
      <c r="N8" s="49" t="n">
        <f>IF(M$2&lt;$B7,0,IF(M$2&gt;=$B8,$C8*M8,(M$2-$B7)*M8))</f>
        <v>0</v>
      </c>
      <c r="O8" s="47"/>
      <c r="P8" s="47"/>
    </row>
    <row r="9" ht="14.002500000000003" customHeight="1">
      <c r="A9" s="30" t="s">
        <v>609</v>
      </c>
      <c r="B9" s="31"/>
      <c r="C9" s="31"/>
      <c r="D9" s="31"/>
      <c r="E9" s="32" t="n">
        <v>0.0001</v>
      </c>
      <c r="F9" s="33" t="n">
        <f>IF(E$2&lt;$B8,0,(E$2-$B8)*E9)</f>
        <v>0</v>
      </c>
      <c r="G9" s="32" t="n">
        <v>0.0001</v>
      </c>
      <c r="H9" s="34" t="n">
        <f>IF(G$2&lt;$B8,0,(G$2-$B8)*G9)</f>
        <v>0</v>
      </c>
      <c r="I9" s="32" t="n">
        <v>0.0001</v>
      </c>
      <c r="J9" s="34" t="n">
        <f>IF(I$2&lt;$B8,0,(I$2-$B8)*I9)</f>
        <v>0</v>
      </c>
      <c r="K9" s="32" t="n">
        <v>0.0001</v>
      </c>
      <c r="L9" s="34" t="n">
        <f>IF(K$2&lt;$B8,0,(K$2-$B8)*K9)</f>
        <v>0</v>
      </c>
      <c r="M9" s="32" t="n">
        <v>0.0001</v>
      </c>
      <c r="N9" s="50" t="n">
        <f>IF(M$2&lt;$B8,0,(M$2-$B8)*M9)</f>
        <v>0</v>
      </c>
      <c r="O9" s="505" t="s">
        <v>610</v>
      </c>
      <c r="P9" s="504"/>
    </row>
    <row r="10" ht="14.002500000000003" customHeight="1">
      <c r="A10" s="35" t="s">
        <v>611</v>
      </c>
      <c r="B10" s="36"/>
      <c r="C10" s="36"/>
      <c r="D10" s="37"/>
      <c r="E10" s="506" t="n">
        <f>SUM(F3:F9)</f>
        <v>6.7</v>
      </c>
      <c r="F10" s="507"/>
      <c r="G10" s="506" t="n">
        <f>SUM(H3:H9)</f>
        <v>5.15</v>
      </c>
      <c r="H10" s="507"/>
      <c r="I10" s="506" t="n">
        <f>SUM(J3:J9)</f>
        <v>1.769088352</v>
      </c>
      <c r="J10" s="507"/>
      <c r="K10" s="506" t="n">
        <f>SUM(L3:L9)</f>
        <v>5.15</v>
      </c>
      <c r="L10" s="507"/>
      <c r="M10" s="506" t="n">
        <f>SUM(N3:N9)</f>
        <v>2.4</v>
      </c>
      <c r="N10" s="508"/>
      <c r="O10" s="509" t="n">
        <f>+M10+K10+I10+G10+E10</f>
        <v>21.169088352</v>
      </c>
      <c r="P10" s="510"/>
    </row>
    <row r="11" ht="14.002500000000003" customHeight="1">
      <c r="A11" s="38" t="s">
        <v>612</v>
      </c>
      <c r="B11" s="39"/>
      <c r="C11" s="39"/>
      <c r="D11" s="40"/>
      <c r="E11" s="502" t="n">
        <f>+E10*1.2</f>
        <v>8.04</v>
      </c>
      <c r="F11" s="503"/>
      <c r="G11" s="502" t="n">
        <f>+G10*1.2</f>
        <v>6.18</v>
      </c>
      <c r="H11" s="503"/>
      <c r="I11" s="502" t="n">
        <f>+I10*1.2</f>
        <v>2.1229060224</v>
      </c>
      <c r="J11" s="503"/>
      <c r="K11" s="502" t="n">
        <f>+K10*1.2</f>
        <v>6.18</v>
      </c>
      <c r="L11" s="503"/>
      <c r="M11" s="502" t="n">
        <f>+M10*1.2</f>
        <v>2.88</v>
      </c>
      <c r="N11" s="504"/>
      <c r="O11" s="47"/>
      <c r="P11" s="47"/>
    </row>
    <row r="12" ht="14.002500000000003" customHeight="1">
      <c r="A12" s="41" t="s">
        <v>613</v>
      </c>
      <c r="B12" s="42"/>
      <c r="C12" s="42"/>
      <c r="D12" s="43"/>
      <c r="E12" s="499" t="n">
        <f>+E10*0.8</f>
        <v>5.36</v>
      </c>
      <c r="F12" s="500"/>
      <c r="G12" s="499" t="n">
        <f>+G10*0.8</f>
        <v>4.12</v>
      </c>
      <c r="H12" s="500"/>
      <c r="I12" s="499" t="n">
        <f>+I10*0.8</f>
        <v>1.4152706816</v>
      </c>
      <c r="J12" s="500"/>
      <c r="K12" s="499" t="n">
        <f>+K10*0.8</f>
        <v>4.12</v>
      </c>
      <c r="L12" s="500"/>
      <c r="M12" s="499" t="n">
        <f>+M10*0.8</f>
        <v>1.92</v>
      </c>
      <c r="N12" s="501"/>
      <c r="O12" s="47"/>
      <c r="P12" s="47"/>
    </row>
    <row r="16" ht="14.002500000000003" customHeight="1">
      <c r="A16" s="475" t="s">
        <v>197</v>
      </c>
      <c r="B16" s="476"/>
      <c r="C16" s="477"/>
      <c r="D16" s="341" t="s">
        <v>204</v>
      </c>
      <c r="E16" s="341"/>
      <c r="F16" s="341"/>
      <c r="G16" s="341" t="s">
        <v>205</v>
      </c>
      <c r="H16" s="341"/>
      <c r="I16" s="341"/>
      <c r="J16" s="341" t="s">
        <v>206</v>
      </c>
      <c r="K16" s="341"/>
      <c r="L16" s="341"/>
      <c r="M16" s="341" t="s">
        <v>207</v>
      </c>
      <c r="N16" s="341"/>
      <c r="O16" s="341"/>
      <c r="P16" s="341" t="s">
        <v>208</v>
      </c>
      <c r="Q16" s="341"/>
      <c r="R16" s="341"/>
    </row>
    <row r="17" ht="14.002500000000003" customHeight="1">
      <c r="A17" s="478"/>
      <c r="B17" s="479"/>
      <c r="C17" s="480"/>
      <c r="D17" s="341" t="n">
        <v>600</v>
      </c>
      <c r="E17" s="341"/>
      <c r="F17" s="341"/>
      <c r="G17" s="341" t="n">
        <v>600</v>
      </c>
      <c r="H17" s="341"/>
      <c r="I17" s="341"/>
      <c r="J17" s="341" t="n">
        <v>100</v>
      </c>
      <c r="K17" s="341"/>
      <c r="L17" s="341"/>
      <c r="M17" s="341" t="n">
        <v>600</v>
      </c>
      <c r="N17" s="341"/>
      <c r="O17" s="341"/>
      <c r="P17" s="341" t="n">
        <v>300</v>
      </c>
      <c r="Q17" s="341"/>
      <c r="R17" s="341"/>
    </row>
    <row r="18" ht="14.002500000000003" customHeight="1">
      <c r="A18" s="6"/>
      <c r="B18" s="341" t="s">
        <v>209</v>
      </c>
      <c r="C18" s="6" t="n">
        <v>100</v>
      </c>
      <c r="D18" s="6" t="n">
        <f>C18*E18</f>
        <v>1.5</v>
      </c>
      <c r="E18" s="44" t="n">
        <v>0.015</v>
      </c>
      <c r="F18" s="6" t="n">
        <f>IF(D17&lt;=C18,D17*E18,0)</f>
        <v>0</v>
      </c>
      <c r="G18" s="6" t="n">
        <f>C18*H18</f>
        <v>1.5</v>
      </c>
      <c r="H18" s="32" t="n">
        <v>0.015</v>
      </c>
      <c r="I18" s="6" t="n">
        <f>IF(H17&lt;=C18,H17*H18,0)</f>
        <v>0</v>
      </c>
      <c r="J18" s="6" t="n">
        <f>C18*K18</f>
        <v>1.5</v>
      </c>
      <c r="K18" s="32" t="n">
        <v>0.015</v>
      </c>
      <c r="L18" s="6" t="n">
        <f>IF(K17&lt;=C18,J17*K18,0)</f>
        <v>1.5</v>
      </c>
      <c r="M18" s="6" t="n">
        <f>C18*N18</f>
        <v>1.5</v>
      </c>
      <c r="N18" s="32" t="n">
        <v>0.015</v>
      </c>
      <c r="O18" s="6" t="n">
        <f>IF(M17&lt;=C18,M17*N18,0)</f>
        <v>0</v>
      </c>
      <c r="P18" s="6" t="n">
        <f>C18*Q18</f>
        <v>1</v>
      </c>
      <c r="Q18" s="32" t="n">
        <v>0.01</v>
      </c>
      <c r="R18" s="6" t="n">
        <f>IF(P17&lt;=C18,P17*Q18,0)</f>
        <v>0</v>
      </c>
    </row>
    <row r="19" ht="14.002500000000003" customHeight="1">
      <c r="A19" s="6" t="n">
        <v>100</v>
      </c>
      <c r="B19" s="341" t="s">
        <v>202</v>
      </c>
      <c r="C19" s="6" t="n">
        <v>500</v>
      </c>
      <c r="D19" s="6" t="n">
        <f>D18+(C19-A19)*E19</f>
        <v>5.9</v>
      </c>
      <c r="E19" s="44" t="n">
        <v>0.011</v>
      </c>
      <c r="F19" s="6" t="n">
        <f>IF(AND($D$17&gt;A19,$D$17&lt;C19),(D18+($D$17-C18)*E19),0)</f>
        <v>0</v>
      </c>
      <c r="G19" s="6" t="n">
        <f>G18+(C19-C18)*H19</f>
        <v>4.7</v>
      </c>
      <c r="H19" s="32" t="n">
        <v>0.008</v>
      </c>
      <c r="I19" s="6" t="n">
        <f>IF(AND($G$17&gt;A19,$G$17&lt;C19),(G18+($G$17-C18)*H19),0)</f>
        <v>0</v>
      </c>
      <c r="J19" s="6" t="n">
        <f>J18+(C19-A19)*K19</f>
        <v>4.7</v>
      </c>
      <c r="K19" s="32" t="n">
        <v>0.008</v>
      </c>
      <c r="L19" s="6" t="n">
        <f>IF(AND($J$17&gt;A19,$J$17&lt;C19),(J18+($J$17-C18)*K19),0)</f>
        <v>0</v>
      </c>
      <c r="M19" s="6" t="n">
        <f>M18+(C19-C18)*N19</f>
        <v>4.7</v>
      </c>
      <c r="N19" s="32" t="n">
        <v>0.008</v>
      </c>
      <c r="O19" s="6" t="n">
        <f>IF(AND($M$17&gt;A19,$M$17&lt;C19),(M18+($M$17-C18)*N19),0)</f>
        <v>0</v>
      </c>
      <c r="P19" s="6" t="n">
        <f>P18+(C19-C18)*Q19</f>
        <v>3.8</v>
      </c>
      <c r="Q19" s="32" t="n">
        <v>0.007</v>
      </c>
      <c r="R19" s="6" t="n">
        <f>IF(AND($P$17&gt;A19,$P$17&lt;C19),(P18+($P$17-C18)*Q19),0)</f>
        <v>2.4</v>
      </c>
    </row>
    <row r="20" ht="14.002500000000003" customHeight="1">
      <c r="A20" s="6" t="n">
        <v>500</v>
      </c>
      <c r="B20" s="341" t="s">
        <v>202</v>
      </c>
      <c r="C20" s="6" t="n">
        <v>1000</v>
      </c>
      <c r="D20" s="6" t="n">
        <f>D19+(C20-A20)*E20</f>
        <v>9.9</v>
      </c>
      <c r="E20" s="44" t="n">
        <v>0.008</v>
      </c>
      <c r="F20" s="6" t="n">
        <f>IF(AND($D$17&gt;A20,$D$17&lt;C20),(D19+($D$17-C19)*E20),0)</f>
        <v>6.7</v>
      </c>
      <c r="G20" s="6" t="n">
        <f>G19+(C20-C19)*H20</f>
        <v>6.95</v>
      </c>
      <c r="H20" s="32" t="n">
        <v>0.0045</v>
      </c>
      <c r="I20" s="6" t="n">
        <f>IF(AND($G$17&gt;A20,$G$17&lt;C20),(G19+($G$17-C19)*H20),0)</f>
        <v>5.15</v>
      </c>
      <c r="J20" s="6" t="n">
        <f>J19+(C20-A20)*K20</f>
        <v>6.95</v>
      </c>
      <c r="K20" s="32" t="n">
        <v>0.0045</v>
      </c>
      <c r="L20" s="6" t="n">
        <f>IF(AND($J$17&gt;A20,$J$17&lt;C20),(J19+($J$17-C19)*K20),0)</f>
        <v>0</v>
      </c>
      <c r="M20" s="6" t="n">
        <f>M19+(C20-C19)*N20</f>
        <v>6.95</v>
      </c>
      <c r="N20" s="32" t="n">
        <v>0.0045</v>
      </c>
      <c r="O20" s="6" t="n">
        <f>IF(AND($M$17&gt;A20,$M$17&lt;C20),(M19+($M$17-C19)*N20),0)</f>
        <v>5.15</v>
      </c>
      <c r="P20" s="6" t="n">
        <f>P19+(C20-C19)*Q20</f>
        <v>6.55</v>
      </c>
      <c r="Q20" s="32" t="n">
        <v>0.0055</v>
      </c>
      <c r="R20" s="6" t="n">
        <f>IF(AND($P$17&gt;A20,$P$17&lt;C20),(P19+($P$17-C19)*Q20),0)</f>
        <v>0</v>
      </c>
    </row>
    <row r="21" ht="14.002500000000003" customHeight="1">
      <c r="A21" s="6" t="n">
        <v>1000</v>
      </c>
      <c r="B21" s="341" t="s">
        <v>202</v>
      </c>
      <c r="C21" s="6" t="n">
        <v>5000</v>
      </c>
      <c r="D21" s="6" t="n">
        <f>D20+(C21-A21)*E21</f>
        <v>29.9</v>
      </c>
      <c r="E21" s="44" t="n">
        <v>0.005</v>
      </c>
      <c r="F21" s="6" t="n">
        <f>IF(AND($D$17&gt;A21,$D$17&lt;C21),(D20+($D$17-C20)*E21),0)</f>
        <v>0</v>
      </c>
      <c r="G21" s="6" t="n">
        <f>G20+(C21-C20)*H21</f>
        <v>16.95</v>
      </c>
      <c r="H21" s="32" t="n">
        <v>0.0025</v>
      </c>
      <c r="I21" s="6" t="n">
        <f>IF(AND($G$17&gt;A21,$G$17&lt;C21),(G20+($G$17-C20)*H21),0)</f>
        <v>0</v>
      </c>
      <c r="J21" s="6" t="n">
        <f>J20+(C21-A21)*K21</f>
        <v>16.95</v>
      </c>
      <c r="K21" s="32" t="n">
        <v>0.0025</v>
      </c>
      <c r="L21" s="6" t="n">
        <f>IF(AND($J$17&gt;A21,$J$17&lt;C21),(J20+($J$17-C20)*K21),0)</f>
        <v>0</v>
      </c>
      <c r="M21" s="6" t="n">
        <f>M20+(C21-C20)*N21</f>
        <v>16.95</v>
      </c>
      <c r="N21" s="32" t="n">
        <v>0.0025</v>
      </c>
      <c r="O21" s="6" t="n">
        <f>IF(AND($M$17&gt;A21,$M$17&lt;C21),(M20+($M$17-C20)*N21),0)</f>
        <v>0</v>
      </c>
      <c r="P21" s="6" t="n">
        <f>P20+(C21-C20)*Q21</f>
        <v>20.55</v>
      </c>
      <c r="Q21" s="32" t="n">
        <v>0.0035</v>
      </c>
      <c r="R21" s="6" t="n">
        <f>IF(AND($P$17&gt;A21,$P$17&lt;C21),(P20+($P$17-C20)*Q21),0)</f>
        <v>0</v>
      </c>
    </row>
    <row r="22" ht="14.002500000000003" customHeight="1">
      <c r="A22" s="6" t="n">
        <v>5000</v>
      </c>
      <c r="B22" s="341" t="s">
        <v>202</v>
      </c>
      <c r="C22" s="6" t="n">
        <v>10000</v>
      </c>
      <c r="D22" s="6" t="n">
        <f>D21+(C22-A22)*E22</f>
        <v>42.4</v>
      </c>
      <c r="E22" s="44" t="n">
        <v>0.0025</v>
      </c>
      <c r="F22" s="6" t="n">
        <f>IF(AND($D$17&gt;A22,$D$17&lt;C22),(D21+($D$17-C21)*E22),0)</f>
        <v>0</v>
      </c>
      <c r="G22" s="6" t="n">
        <f>G21+(C22-C21)*H22</f>
        <v>21.95</v>
      </c>
      <c r="H22" s="32" t="n">
        <v>0.001</v>
      </c>
      <c r="I22" s="6" t="n">
        <f>IF(AND($G$17&gt;A22,$G$17&lt;C22),(G21+($G$17-C21)*H22),0)</f>
        <v>0</v>
      </c>
      <c r="J22" s="6" t="n">
        <f>J21+(C22-A22)*K22</f>
        <v>21.95</v>
      </c>
      <c r="K22" s="32" t="n">
        <v>0.001</v>
      </c>
      <c r="L22" s="6" t="n">
        <f>IF(AND($J$17&gt;A22,$J$17&lt;C22),(J21+($J$17-C21)*K22),0)</f>
        <v>0</v>
      </c>
      <c r="M22" s="6" t="n">
        <f>M21+(C22-C21)*N22</f>
        <v>21.95</v>
      </c>
      <c r="N22" s="32" t="n">
        <v>0.001</v>
      </c>
      <c r="O22" s="6" t="n">
        <f>IF(AND($M$17&gt;A22,$M$17&lt;C22),(M21+($M$17-C21)*N22),0)</f>
        <v>0</v>
      </c>
      <c r="P22" s="6" t="n">
        <f>P21+(C22-C21)*Q22</f>
        <v>30.55</v>
      </c>
      <c r="Q22" s="32" t="n">
        <v>0.002</v>
      </c>
      <c r="R22" s="6" t="n">
        <f>IF(AND($P$17&gt;A22,$P$17&lt;C22),(P21+($P$17-C21)*Q22),0)</f>
        <v>0</v>
      </c>
    </row>
    <row r="23" ht="14.002500000000003" customHeight="1">
      <c r="A23" s="6" t="n">
        <v>10000</v>
      </c>
      <c r="B23" s="341" t="s">
        <v>202</v>
      </c>
      <c r="C23" s="6" t="n">
        <v>50000</v>
      </c>
      <c r="D23" s="6" t="n">
        <f>D22+(C23-A23)*E23</f>
        <v>62.4</v>
      </c>
      <c r="E23" s="44" t="n">
        <v>0.0005</v>
      </c>
      <c r="F23" s="6" t="n">
        <f>IF(AND($D$17&gt;A23,$D$17&lt;C23),(D22+($D$17-C22)*E23),0)</f>
        <v>0</v>
      </c>
      <c r="G23" s="6" t="n">
        <f>G22+(C23-C22)*H23</f>
        <v>41.95</v>
      </c>
      <c r="H23" s="32" t="n">
        <v>0.0005</v>
      </c>
      <c r="I23" s="6" t="n">
        <f>IF(AND($G$17&gt;A23,$G$17&lt;C23),(G22+($G$17-C22)*H23),0)</f>
        <v>0</v>
      </c>
      <c r="J23" s="6" t="n">
        <f>J22+(C23-A23)*K23</f>
        <v>41.95</v>
      </c>
      <c r="K23" s="32" t="n">
        <v>0.0005</v>
      </c>
      <c r="L23" s="6" t="n">
        <f>IF(AND($J$17&gt;A23,$J$17&lt;C23),(J22+($J$17-C22)*K23),0)</f>
        <v>0</v>
      </c>
      <c r="M23" s="6" t="n">
        <f>M22+(C23-C22)*N23</f>
        <v>41.95</v>
      </c>
      <c r="N23" s="32" t="n">
        <v>0.0005</v>
      </c>
      <c r="O23" s="6" t="n">
        <f>IF(AND($M$17&gt;A23,$M$17&lt;C23),(M22+($M$17-C22)*N23),0)</f>
        <v>0</v>
      </c>
      <c r="P23" s="6" t="n">
        <f>P22+(C23-C22)*Q23</f>
        <v>50.55</v>
      </c>
      <c r="Q23" s="32" t="n">
        <v>0.0005</v>
      </c>
      <c r="R23" s="6" t="n">
        <f>IF(AND($P$17&gt;A23,$P$17&lt;C23),(P22+($P$17-C22)*Q23),0)</f>
        <v>0</v>
      </c>
    </row>
    <row r="24" ht="14.002500000000003" customHeight="1">
      <c r="A24" s="6" t="n">
        <v>50000</v>
      </c>
      <c r="B24" s="341" t="s">
        <v>202</v>
      </c>
      <c r="C24" s="6" t="n">
        <v>100000</v>
      </c>
      <c r="D24" s="6" t="n">
        <f>D23+(C24-A24)*E24</f>
        <v>79.9</v>
      </c>
      <c r="E24" s="45" t="n">
        <v>0.00035</v>
      </c>
      <c r="F24" s="6" t="n">
        <f>IF(AND($D$17&gt;A24,$D$17&lt;C24),(D23+($D$17-C23)*E24),0)</f>
        <v>0</v>
      </c>
      <c r="G24" s="6" t="n">
        <f>G23+(C24-C23)*H24</f>
        <v>59.45</v>
      </c>
      <c r="H24" s="45" t="n">
        <v>0.00035</v>
      </c>
      <c r="I24" s="6" t="n">
        <f>IF(AND($G$17&gt;A24,$G$17&lt;C24),(G23+($G$17-C23)*H24),0)</f>
        <v>0</v>
      </c>
      <c r="J24" s="6" t="n">
        <f>J23+(C24-A24)*K24</f>
        <v>59.45</v>
      </c>
      <c r="K24" s="45" t="n">
        <v>0.00035</v>
      </c>
      <c r="L24" s="6" t="n">
        <f>IF(AND($J$17&gt;A24,$J$17&lt;C24),(J23+($J$17-C23)*K24),0)</f>
        <v>0</v>
      </c>
      <c r="M24" s="6" t="n">
        <f>M23+(C24-C23)*N24</f>
        <v>59.45</v>
      </c>
      <c r="N24" s="45" t="n">
        <v>0.00035</v>
      </c>
      <c r="O24" s="6" t="n">
        <f>IF(AND($M$17&gt;A24,$M$17&lt;C24),(M23+($M$17-C23)*N24),0)</f>
        <v>0</v>
      </c>
      <c r="P24" s="6" t="n">
        <f>P23+(C24-C23)*Q24</f>
        <v>68.05</v>
      </c>
      <c r="Q24" s="45" t="n">
        <v>0.00035</v>
      </c>
      <c r="R24" s="6" t="n">
        <f>IF(AND($P$17&gt;A24,$P$17&lt;C24),(P23+($P$17-C23)*Q24),0)</f>
        <v>0</v>
      </c>
    </row>
    <row r="25" ht="14.002500000000003" customHeight="1">
      <c r="A25" s="6" t="n">
        <v>100000</v>
      </c>
      <c r="B25" s="341" t="s">
        <v>202</v>
      </c>
      <c r="C25" s="6" t="n">
        <v>500000</v>
      </c>
      <c r="D25" s="6" t="n">
        <f>D24+(C25-A25)*E25</f>
        <v>111.9</v>
      </c>
      <c r="E25" s="45" t="n">
        <v>0.00008</v>
      </c>
      <c r="F25" s="6" t="n">
        <f>IF(AND($D$17&gt;A25,$D$17&lt;C25),(D24+($D$17-C24)*E25),0)</f>
        <v>0</v>
      </c>
      <c r="G25" s="6" t="n">
        <f>G24+(C25-C24)*H25</f>
        <v>91.45</v>
      </c>
      <c r="H25" s="45" t="n">
        <v>0.00008</v>
      </c>
      <c r="I25" s="6" t="n">
        <f>IF(AND($G$17&gt;A25,$G$17&lt;C25),(G24+($G$17-C24)*H25),0)</f>
        <v>0</v>
      </c>
      <c r="J25" s="6" t="n">
        <f>J24+(C25-A25)*K25</f>
        <v>91.45</v>
      </c>
      <c r="K25" s="45" t="n">
        <v>0.00008</v>
      </c>
      <c r="L25" s="6" t="n">
        <f>IF(AND($J$17&gt;A25,$J$17&lt;C25),(J24+($J$17-C24)*K25),0)</f>
        <v>0</v>
      </c>
      <c r="M25" s="6" t="n">
        <f>M24+(C25-C24)*N25</f>
        <v>91.45</v>
      </c>
      <c r="N25" s="45" t="n">
        <v>0.00008</v>
      </c>
      <c r="O25" s="6" t="n">
        <f>IF(AND($M$17&gt;A25,$M$17&lt;C25),(M24+($M$17-C24)*N25),0)</f>
        <v>0</v>
      </c>
      <c r="P25" s="6" t="n">
        <f>P24+(C25-C24)*Q25</f>
        <v>100.05</v>
      </c>
      <c r="Q25" s="45" t="n">
        <v>0.00008</v>
      </c>
      <c r="R25" s="6" t="n">
        <f>IF(AND($P$17&gt;A25,$P$17&lt;C25),(P24+($P$17-C24)*Q25),0)</f>
        <v>0</v>
      </c>
    </row>
    <row r="26" ht="14.002500000000003" customHeight="1">
      <c r="A26" s="6" t="n">
        <v>500000</v>
      </c>
      <c r="B26" s="341" t="s">
        <v>202</v>
      </c>
      <c r="C26" s="6" t="n">
        <v>1000000</v>
      </c>
      <c r="D26" s="6" t="n">
        <f>D25+(C26-A26)*E26</f>
        <v>141.9</v>
      </c>
      <c r="E26" s="45" t="n">
        <v>0.00006</v>
      </c>
      <c r="F26" s="6" t="n">
        <f>IF(AND($D$17&gt;A26,$D$17&lt;C26),(D25+($D$17-C25)*E26),0)</f>
        <v>0</v>
      </c>
      <c r="G26" s="6" t="n">
        <f>G25+(C26-C25)*H26</f>
        <v>121.45</v>
      </c>
      <c r="H26" s="45" t="n">
        <v>0.00006</v>
      </c>
      <c r="I26" s="6" t="n">
        <f>IF(AND($G$17&gt;A26,$G$17&lt;C26),(G25+($G$17-C25)*H26),0)</f>
        <v>0</v>
      </c>
      <c r="J26" s="6" t="n">
        <f>J25+(C26-A26)*K26</f>
        <v>121.45</v>
      </c>
      <c r="K26" s="45" t="n">
        <v>0.00006</v>
      </c>
      <c r="L26" s="6" t="n">
        <f>IF(AND($J$17&gt;A26,$J$17&lt;C26),(J25+($J$17-C25)*K26),0)</f>
        <v>0</v>
      </c>
      <c r="M26" s="6" t="n">
        <f>M25+(C26-C25)*N26</f>
        <v>121.45</v>
      </c>
      <c r="N26" s="45" t="n">
        <v>0.00006</v>
      </c>
      <c r="O26" s="6" t="n">
        <f>IF(AND($M$17&gt;A26,$M$17&lt;C26),(M25+($M$17-C25)*N26),0)</f>
        <v>0</v>
      </c>
      <c r="P26" s="6" t="n">
        <f>P25+(C26-C25)*Q26</f>
        <v>130.05</v>
      </c>
      <c r="Q26" s="45" t="n">
        <v>0.00006</v>
      </c>
      <c r="R26" s="6" t="n">
        <f>IF(AND($P$17&gt;A26,$P$17&lt;C26),(P25+($P$17-C25)*Q26),0)</f>
        <v>0</v>
      </c>
    </row>
    <row r="27" ht="14.002500000000003" customHeight="1">
      <c r="A27" s="6" t="n">
        <v>1000000</v>
      </c>
      <c r="B27" s="341" t="s">
        <v>209</v>
      </c>
      <c r="C27" s="6"/>
      <c r="D27" s="6"/>
      <c r="E27" s="45" t="n">
        <v>0.00004</v>
      </c>
      <c r="F27" s="6" t="n">
        <f>IF(AND($D$17&gt;A27),(D26+($D$17-A27)*E27),0)</f>
        <v>0</v>
      </c>
      <c r="G27" s="6"/>
      <c r="H27" s="45" t="n">
        <v>0.00004</v>
      </c>
      <c r="I27" s="6" t="n">
        <f>IF(AND(G17&gt;A27),(G26+(G17-A27)*H27),0)</f>
        <v>0</v>
      </c>
      <c r="J27" s="6"/>
      <c r="K27" s="45" t="n">
        <v>0.00004</v>
      </c>
      <c r="L27" s="6" t="n">
        <f>IF(AND(J17&gt;A27),(J26+(J17-A27)*K27),0)</f>
        <v>0</v>
      </c>
      <c r="M27" s="6"/>
      <c r="N27" s="45" t="n">
        <v>0.00004</v>
      </c>
      <c r="O27" s="6" t="n">
        <f>IF(AND(M17&gt;A27),(M26+(M17-A27)*N27),0)</f>
        <v>0</v>
      </c>
      <c r="P27" s="6"/>
      <c r="Q27" s="45" t="n">
        <v>0.00004</v>
      </c>
      <c r="R27" s="6" t="n">
        <f>IF(AND(P17&gt;A27),(P26+(P17-A27)*Q27),0)</f>
        <v>0</v>
      </c>
      <c r="S27" s="341" t="s">
        <v>210</v>
      </c>
    </row>
    <row r="28" ht="14.002500000000003" customHeight="1">
      <c r="A28" s="344" t="s">
        <v>211</v>
      </c>
      <c r="B28" s="345"/>
      <c r="C28" s="498"/>
      <c r="D28" s="495" t="n">
        <f>SUM(F18:F27)</f>
        <v>6.7</v>
      </c>
      <c r="E28" s="496"/>
      <c r="F28" s="497"/>
      <c r="G28" s="495" t="n">
        <f>SUM(I18:I27)</f>
        <v>5.15</v>
      </c>
      <c r="H28" s="496"/>
      <c r="I28" s="497"/>
      <c r="J28" s="495" t="n">
        <f>SUM(L18:L27)</f>
        <v>1.5</v>
      </c>
      <c r="K28" s="496"/>
      <c r="L28" s="497"/>
      <c r="M28" s="495" t="n">
        <f>SUM(O18:O27)</f>
        <v>5.15</v>
      </c>
      <c r="N28" s="496"/>
      <c r="O28" s="497"/>
      <c r="P28" s="495" t="n">
        <f>SUM(R18:R27)</f>
        <v>2.4</v>
      </c>
      <c r="Q28" s="496"/>
      <c r="R28" s="497"/>
      <c r="S28" s="14" t="n">
        <f>SUM(D28:Q28)</f>
        <v>20.9</v>
      </c>
    </row>
  </sheetData>
  <mergeCells count="46">
    <mergeCell ref="A28:C28"/>
    <mergeCell ref="G17:I17"/>
    <mergeCell ref="E1:F1"/>
    <mergeCell ref="E2:F2"/>
    <mergeCell ref="K10:L10"/>
    <mergeCell ref="G11:H11"/>
    <mergeCell ref="M16:O16"/>
    <mergeCell ref="K12:L12"/>
    <mergeCell ref="J28:L28"/>
    <mergeCell ref="I12:J12"/>
    <mergeCell ref="K1:L1"/>
    <mergeCell ref="G16:I16"/>
    <mergeCell ref="M28:O28"/>
    <mergeCell ref="G1:H1"/>
    <mergeCell ref="P28:R28"/>
    <mergeCell ref="G2:H2"/>
    <mergeCell ref="G12:H12"/>
    <mergeCell ref="A1:C1"/>
    <mergeCell ref="P17:R17"/>
    <mergeCell ref="G28:I28"/>
    <mergeCell ref="O10:P10"/>
    <mergeCell ref="D17:F17"/>
    <mergeCell ref="M10:N10"/>
    <mergeCell ref="I1:J1"/>
    <mergeCell ref="A2:C2"/>
    <mergeCell ref="M1:N1"/>
    <mergeCell ref="E12:F12"/>
    <mergeCell ref="O9:P9"/>
    <mergeCell ref="I10:J10"/>
    <mergeCell ref="I2:J2"/>
    <mergeCell ref="P16:R16"/>
    <mergeCell ref="E11:F11"/>
    <mergeCell ref="M2:N2"/>
    <mergeCell ref="M17:O17"/>
    <mergeCell ref="G10:H10"/>
    <mergeCell ref="D16:F16"/>
    <mergeCell ref="J16:L16"/>
    <mergeCell ref="D28:F28"/>
    <mergeCell ref="E10:F10"/>
    <mergeCell ref="M12:N12"/>
    <mergeCell ref="A16:C17"/>
    <mergeCell ref="K2:L2"/>
    <mergeCell ref="K11:L11"/>
    <mergeCell ref="I11:J11"/>
    <mergeCell ref="M11:N11"/>
    <mergeCell ref="J17:L17"/>
  </mergeCells>
  <phoneticPr fontId="1"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5" max="5" width="6.9990234375" customWidth="1" style="548"/>
    <col min="6" max="6" width="7.998046875" customWidth="1" style="548"/>
    <col min="7" max="7" width="13.8310546875" customWidth="1" style="548"/>
  </cols>
  <sheetData>
    <row r="1" ht="14.002500000000003" customHeight="1">
      <c r="A1" s="341" t="s">
        <v>232</v>
      </c>
      <c r="B1" s="341"/>
      <c r="C1" s="341"/>
      <c r="D1" s="341"/>
      <c r="E1" s="341"/>
      <c r="F1" s="341"/>
      <c r="G1" s="341" t="s">
        <v>599</v>
      </c>
      <c r="H1" s="341" t="s">
        <v>234</v>
      </c>
    </row>
    <row r="2" ht="14.002500000000003" customHeight="1">
      <c r="A2" s="341" t="s">
        <v>5</v>
      </c>
      <c r="B2" s="341" t="s">
        <v>197</v>
      </c>
      <c r="C2" s="341"/>
      <c r="D2" s="341"/>
      <c r="E2" s="341" t="s">
        <v>235</v>
      </c>
      <c r="F2" s="341" t="s">
        <v>236</v>
      </c>
      <c r="G2" s="13" t="n">
        <f>'其他费自动计算'!C2</f>
        <v>3992.88</v>
      </c>
      <c r="H2" s="14" t="n">
        <f>SUM(H3:H9)</f>
        <v>33.964464</v>
      </c>
    </row>
    <row r="3" ht="14.002500000000003" customHeight="1">
      <c r="A3" s="341" t="n">
        <v>1</v>
      </c>
      <c r="B3" s="341"/>
      <c r="C3" s="341" t="s">
        <v>201</v>
      </c>
      <c r="D3" s="341" t="n">
        <v>200</v>
      </c>
      <c r="E3" s="16" t="n">
        <v>0.0102</v>
      </c>
      <c r="F3" s="20" t="n">
        <f>E3*D3</f>
        <v>2.04</v>
      </c>
      <c r="G3" s="9" t="n">
        <f>IF($G$2&lt;=D3,1,0)</f>
        <v>0</v>
      </c>
      <c r="H3" s="14" t="n">
        <f>IF(G3=1,(G2*E3),0)</f>
        <v>0</v>
      </c>
      <c r="I3" s="481" t="s">
        <v>614</v>
      </c>
    </row>
    <row r="4" ht="14.002500000000003" customHeight="1">
      <c r="A4" s="341" t="n">
        <v>2</v>
      </c>
      <c r="B4" s="341" t="n">
        <v>200</v>
      </c>
      <c r="C4" s="341" t="s">
        <v>202</v>
      </c>
      <c r="D4" s="341" t="n">
        <v>500</v>
      </c>
      <c r="E4" s="16" t="n">
        <v>0.0096</v>
      </c>
      <c r="F4" s="20" t="n">
        <f>F3+(D4-B4)*E4</f>
        <v>4.92</v>
      </c>
      <c r="G4" s="9" t="n">
        <f>IF(AND($G$2&lt;=D4,$G$2&gt;B4),1,0)</f>
        <v>0</v>
      </c>
      <c r="H4" s="14" t="n">
        <f>IF(G4=1,(F3+($G$2-D3)*E4),0)</f>
        <v>0</v>
      </c>
      <c r="I4" s="522"/>
    </row>
    <row r="5" ht="14.002500000000003" customHeight="1">
      <c r="A5" s="341" t="n">
        <v>3</v>
      </c>
      <c r="B5" s="341" t="n">
        <v>500</v>
      </c>
      <c r="C5" s="341" t="s">
        <v>202</v>
      </c>
      <c r="D5" s="341" t="n">
        <v>1000</v>
      </c>
      <c r="E5" s="16" t="n">
        <v>0.009</v>
      </c>
      <c r="F5" s="20" t="n">
        <f>F4+(D5-B5)*E5</f>
        <v>9.42</v>
      </c>
      <c r="G5" s="9" t="n">
        <f>IF(AND($G$2&lt;=D5,$G$2&gt;B5),1,0)</f>
        <v>0</v>
      </c>
      <c r="H5" s="14" t="n">
        <f>IF(G5=1,(F4+($G$2-D4)*E5),0)</f>
        <v>0</v>
      </c>
      <c r="I5" s="522"/>
    </row>
    <row r="6" ht="14.002500000000003" customHeight="1">
      <c r="A6" s="341" t="n">
        <v>4</v>
      </c>
      <c r="B6" s="341" t="n">
        <v>1000</v>
      </c>
      <c r="C6" s="341" t="s">
        <v>202</v>
      </c>
      <c r="D6" s="341" t="n">
        <v>3000</v>
      </c>
      <c r="E6" s="16" t="n">
        <v>0.0084</v>
      </c>
      <c r="F6" s="20" t="n">
        <f>F5+(D6-B6)*E6</f>
        <v>26.22</v>
      </c>
      <c r="G6" s="9" t="n">
        <f>IF(AND($G$2&lt;=D6,$G$2&gt;B6),1,0)</f>
        <v>0</v>
      </c>
      <c r="H6" s="14" t="n">
        <f>IF(G6=1,(F5+($G$2-D5)*E6),0)</f>
        <v>0</v>
      </c>
      <c r="I6" s="522"/>
    </row>
    <row r="7" ht="14.002500000000003" customHeight="1">
      <c r="A7" s="341" t="n">
        <v>5</v>
      </c>
      <c r="B7" s="341" t="n">
        <v>3000</v>
      </c>
      <c r="C7" s="341" t="s">
        <v>202</v>
      </c>
      <c r="D7" s="341" t="n">
        <v>6000</v>
      </c>
      <c r="E7" s="16" t="n">
        <v>0.0078</v>
      </c>
      <c r="F7" s="20" t="n">
        <f>F6+(D7-B7)*E7</f>
        <v>49.62</v>
      </c>
      <c r="G7" s="9" t="n">
        <f>IF(AND($G$2&lt;=D7,$G$2&gt;B7),1,0)</f>
        <v>1</v>
      </c>
      <c r="H7" s="14" t="n">
        <f>IF(G7=1,(F6+($G$2-D6)*E7),0)</f>
        <v>33.964464</v>
      </c>
      <c r="I7" s="522"/>
    </row>
    <row r="8" ht="14.002500000000003" customHeight="1">
      <c r="A8" s="341" t="n">
        <v>6</v>
      </c>
      <c r="B8" s="341" t="n">
        <v>6000</v>
      </c>
      <c r="C8" s="341" t="s">
        <v>202</v>
      </c>
      <c r="D8" s="341" t="n">
        <v>10000</v>
      </c>
      <c r="E8" s="16" t="n">
        <v>0.0072</v>
      </c>
      <c r="F8" s="20" t="n">
        <f>F7+(D8-B8)*E8</f>
        <v>78.42</v>
      </c>
      <c r="G8" s="9" t="n">
        <f>IF(AND($G$2&lt;=D8,$G$2&gt;B8),1,0)</f>
        <v>0</v>
      </c>
      <c r="H8" s="14" t="n">
        <f>IF(G8=1,(F7+($G$2-D7)*E8),0)</f>
        <v>0</v>
      </c>
      <c r="I8" s="482"/>
    </row>
    <row r="9" ht="14.002500000000003" customHeight="1">
      <c r="A9" s="341" t="n">
        <v>7</v>
      </c>
      <c r="B9" s="8" t="n">
        <v>10000</v>
      </c>
      <c r="C9" s="21" t="s">
        <v>209</v>
      </c>
      <c r="E9" s="22" t="n">
        <v>0.0066</v>
      </c>
      <c r="F9" s="20"/>
      <c r="G9" s="9" t="n">
        <f>IF(AND($G$2&gt;B9),1,0)</f>
        <v>0</v>
      </c>
      <c r="H9" s="14" t="n">
        <f>IF(G9=1,(F8+($G$2-D8)*E9),0)</f>
        <v>0</v>
      </c>
    </row>
  </sheetData>
  <mergeCells count="3">
    <mergeCell ref="I3:I8"/>
    <mergeCell ref="B2:D2"/>
    <mergeCell ref="A1:E1"/>
  </mergeCells>
  <phoneticPr fontId="1"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4" max="4" width="11.666015625" customWidth="1" style="548"/>
    <col min="5" max="5" width="15.9990234375" customWidth="1" style="548"/>
  </cols>
  <sheetData>
    <row r="1" ht="14.002500000000003" customHeight="1">
      <c r="A1" s="6" t="s">
        <v>5</v>
      </c>
      <c r="B1" s="6" t="s">
        <v>237</v>
      </c>
      <c r="C1" s="6" t="s">
        <v>238</v>
      </c>
      <c r="D1" s="6" t="s">
        <v>544</v>
      </c>
      <c r="E1" s="6" t="s">
        <v>200</v>
      </c>
    </row>
    <row r="2" ht="14.002500000000003" customHeight="1">
      <c r="A2" s="6"/>
      <c r="B2" s="6"/>
      <c r="C2" s="6"/>
      <c r="D2" s="17" t="n">
        <f>'其他费自动计算'!C2</f>
        <v>3992.88</v>
      </c>
      <c r="E2" s="18" t="n">
        <f>SUM(E3:E19)</f>
        <v>99.297988</v>
      </c>
    </row>
    <row r="3" ht="14.002500000000003" customHeight="1">
      <c r="A3" s="6" t="n">
        <v>1</v>
      </c>
      <c r="B3" s="6" t="n">
        <v>500</v>
      </c>
      <c r="C3" s="19" t="n">
        <v>16.5</v>
      </c>
      <c r="D3" s="9" t="n">
        <f>IF(D2&lt;=B3,1,0)</f>
        <v>0</v>
      </c>
      <c r="E3" s="14" t="n">
        <f>IF(D3=1,(C3/D2*B3),0)</f>
        <v>0</v>
      </c>
    </row>
    <row r="4" ht="14.002500000000003" customHeight="1">
      <c r="A4" s="6" t="n">
        <v>2</v>
      </c>
      <c r="B4" s="6" t="n">
        <v>1000</v>
      </c>
      <c r="C4" s="19" t="n">
        <v>30.1</v>
      </c>
      <c r="D4" s="9" t="n">
        <f>IF(AND($D$2&lt;=B4,$D$2&gt;B3),1,0)</f>
        <v>0</v>
      </c>
      <c r="E4" s="14" t="n">
        <f>IF($D4=1,(C3+(C4-C3)/($B4-$B3)*($D$2-$B3)),0)</f>
        <v>0</v>
      </c>
    </row>
    <row r="5" ht="14.002500000000003" customHeight="1">
      <c r="A5" s="6" t="n">
        <v>3</v>
      </c>
      <c r="B5" s="6" t="n">
        <v>3000</v>
      </c>
      <c r="C5" s="19" t="n">
        <v>78.1</v>
      </c>
      <c r="D5" s="9" t="n">
        <f>IF(AND($D$2&lt;=B5,$D$2&gt;B4),1,0)</f>
        <v>0</v>
      </c>
      <c r="E5" s="14" t="n">
        <f>IF($D5=1,(C4+(C5-C4)/($B5-$B4)*($D$2-$B4)),0)</f>
        <v>0</v>
      </c>
    </row>
    <row r="6" ht="14.002500000000003" customHeight="1">
      <c r="A6" s="6" t="n">
        <v>4</v>
      </c>
      <c r="B6" s="6" t="n">
        <v>5000</v>
      </c>
      <c r="C6" s="19" t="n">
        <v>120.8</v>
      </c>
      <c r="D6" s="9" t="n">
        <f>IF(AND($D$2&lt;=B6,$D$2&gt;B5),1,0)</f>
        <v>1</v>
      </c>
      <c r="E6" s="14" t="n">
        <f>IF($D6=1,(C5+(C6-C5)/($B6-$B5)*($D$2-$B5)),0)</f>
        <v>99.297988</v>
      </c>
    </row>
    <row r="7" ht="14.002500000000003" customHeight="1">
      <c r="A7" s="6" t="n">
        <v>5</v>
      </c>
      <c r="B7" s="6" t="n">
        <v>8000</v>
      </c>
      <c r="C7" s="19" t="n">
        <v>181</v>
      </c>
      <c r="D7" s="9" t="n">
        <f>IF(AND($D$2&lt;=B7,$D$2&gt;B6),1,0)</f>
        <v>0</v>
      </c>
      <c r="E7" s="14" t="n">
        <f>IF($D7=1,(C6+(C7-C6)/($B7-$B6)*($D$2-$B6)),0)</f>
        <v>0</v>
      </c>
    </row>
    <row r="8" ht="14.002500000000003" customHeight="1">
      <c r="A8" s="6" t="n">
        <v>6</v>
      </c>
      <c r="B8" s="6" t="n">
        <v>10000</v>
      </c>
      <c r="C8" s="19" t="n">
        <v>218.6</v>
      </c>
      <c r="D8" s="9" t="n">
        <f>IF(AND($D$2&lt;=B8,$D$2&gt;B7),1,0)</f>
        <v>0</v>
      </c>
      <c r="E8" s="14" t="n">
        <f>IF($D8=1,(C7+(C8-C7)/($B8-$B7)*($D$2-$B7)),0)</f>
        <v>0</v>
      </c>
    </row>
    <row r="9" ht="14.002500000000003" customHeight="1">
      <c r="A9" s="6" t="n">
        <v>7</v>
      </c>
      <c r="B9" s="6" t="n">
        <v>20000</v>
      </c>
      <c r="C9" s="19" t="n">
        <v>393.4</v>
      </c>
      <c r="D9" s="9" t="n">
        <f>IF(AND($D$2&lt;=B9,$D$2&gt;B8),1,0)</f>
        <v>0</v>
      </c>
      <c r="E9" s="14" t="n">
        <f>IF($D9=1,(C8+(C9-C8)/($B9-$B8)*($D$2-$B8)),0)</f>
        <v>0</v>
      </c>
    </row>
    <row r="10" ht="14.002500000000003" customHeight="1">
      <c r="A10" s="6" t="n">
        <v>8</v>
      </c>
      <c r="B10" s="6" t="n">
        <v>40000</v>
      </c>
      <c r="C10" s="19" t="n">
        <v>708.2</v>
      </c>
      <c r="D10" s="9" t="n">
        <f>IF(AND($D$2&lt;=B10,$D$2&gt;B9),1,0)</f>
        <v>0</v>
      </c>
      <c r="E10" s="14" t="n">
        <f>IF($D10=1,(C9+(C10-C9)/($B10-$B9)*($D$2-$B9)),0)</f>
        <v>0</v>
      </c>
    </row>
    <row r="11" ht="14.002500000000003" customHeight="1">
      <c r="A11" s="6" t="n">
        <v>9</v>
      </c>
      <c r="B11" s="6" t="n">
        <v>60000</v>
      </c>
      <c r="C11" s="19" t="n">
        <v>991.4</v>
      </c>
      <c r="D11" s="9" t="n">
        <f>IF(AND($D$2&lt;=B11,$D$2&gt;B10),1,0)</f>
        <v>0</v>
      </c>
      <c r="E11" s="14" t="n">
        <f>IF($D11=1,(C10+(C11-C10)/($B11-$B10)*($D$2-$B10)),0)</f>
        <v>0</v>
      </c>
    </row>
    <row r="12" ht="14.002500000000003" customHeight="1">
      <c r="A12" s="6" t="n">
        <v>10</v>
      </c>
      <c r="B12" s="6" t="n">
        <v>80000</v>
      </c>
      <c r="C12" s="19" t="n">
        <v>1255.8</v>
      </c>
      <c r="D12" s="9" t="n">
        <f>IF(AND($D$2&lt;=B12,$D$2&gt;B11),1,0)</f>
        <v>0</v>
      </c>
      <c r="E12" s="14" t="n">
        <f>IF($D12=1,(C11+(C12-C11)/($B12-$B11)*($D$2-$B11)),0)</f>
        <v>0</v>
      </c>
    </row>
    <row r="13" ht="14.002500000000003" customHeight="1">
      <c r="A13" s="6" t="n">
        <v>11</v>
      </c>
      <c r="B13" s="6" t="n">
        <v>100000</v>
      </c>
      <c r="C13" s="19" t="n">
        <v>1507</v>
      </c>
      <c r="D13" s="9" t="n">
        <f>IF(AND($D$2&lt;=B13,$D$2&gt;B12),1,0)</f>
        <v>0</v>
      </c>
      <c r="E13" s="14" t="n">
        <f>IF($D13=1,(C12+(C13-C12)/($B13-$B12)*($D$2-$B12)),0)</f>
        <v>0</v>
      </c>
    </row>
    <row r="14" ht="14.002500000000003" customHeight="1">
      <c r="A14" s="6" t="n">
        <v>12</v>
      </c>
      <c r="B14" s="6" t="n">
        <v>200000</v>
      </c>
      <c r="C14" s="19" t="n">
        <v>2712.5</v>
      </c>
      <c r="D14" s="9" t="n">
        <f>IF(AND($D$2&lt;=B14,$D$2&gt;B13),1,0)</f>
        <v>0</v>
      </c>
      <c r="E14" s="14" t="n">
        <f>IF($D14=1,(C13+(C14-C13)/($B14-$B13)*($D$2-$B13)),0)</f>
        <v>0</v>
      </c>
    </row>
    <row r="15" ht="14.002500000000003" customHeight="1">
      <c r="A15" s="6" t="n">
        <v>13</v>
      </c>
      <c r="B15" s="6" t="n">
        <v>400000</v>
      </c>
      <c r="C15" s="19" t="n">
        <v>4882.6</v>
      </c>
      <c r="D15" s="9" t="n">
        <f>IF(AND($D$2&lt;=B15,$D$2&gt;B14),1,0)</f>
        <v>0</v>
      </c>
      <c r="E15" s="14" t="n">
        <f>IF($D15=1,(C14+(C15-C14)/($B15-$B14)*($D$2-$B14)),0)</f>
        <v>0</v>
      </c>
    </row>
    <row r="16" ht="14.002500000000003" customHeight="1">
      <c r="A16" s="6" t="n">
        <v>14</v>
      </c>
      <c r="B16" s="6" t="n">
        <v>600000</v>
      </c>
      <c r="C16" s="19" t="n">
        <v>6835.6</v>
      </c>
      <c r="D16" s="9" t="n">
        <f>IF(AND($D$2&lt;=B16,$D$2&gt;B15),1,0)</f>
        <v>0</v>
      </c>
      <c r="E16" s="14" t="n">
        <f>IF($D16=1,(C15+(C16-C15)/($B16-$B15)*($D$2-$B15)),0)</f>
        <v>0</v>
      </c>
    </row>
    <row r="17" ht="14.002500000000003" customHeight="1">
      <c r="A17" s="6" t="n">
        <v>15</v>
      </c>
      <c r="B17" s="6" t="n">
        <v>800000</v>
      </c>
      <c r="C17" s="19" t="n">
        <v>8658.4</v>
      </c>
      <c r="D17" s="9" t="n">
        <f>IF(AND($D$2&lt;=B17,$D$2&gt;B16),1,0)</f>
        <v>0</v>
      </c>
      <c r="E17" s="14" t="n">
        <f>IF($D17=1,(C16+(C17-C16)/($B17-$B16)*($D$2-$B16)),0)</f>
        <v>0</v>
      </c>
    </row>
    <row r="18" ht="14.002500000000003" customHeight="1">
      <c r="A18" s="6" t="n">
        <v>16</v>
      </c>
      <c r="B18" s="6" t="n">
        <v>1000000</v>
      </c>
      <c r="C18" s="19" t="n">
        <v>10390.1</v>
      </c>
      <c r="D18" s="9" t="n">
        <f>IF(AND($D$2&lt;=B18,$D$2&gt;B17),1,0)</f>
        <v>0</v>
      </c>
      <c r="E18" s="14" t="n">
        <f>IF($D18=1,(C17+(C18-C17)/($B18-$B17)*($D$2-$B17)),0)</f>
        <v>0</v>
      </c>
    </row>
    <row r="19" ht="14.002500000000003" customHeight="1">
      <c r="A19" s="6" t="n">
        <v>16</v>
      </c>
      <c r="B19" s="6"/>
      <c r="C19" s="6"/>
      <c r="D19" s="9" t="n">
        <f>IF(D2&gt;B18,1,0)</f>
        <v>0</v>
      </c>
      <c r="E19" s="14" t="n">
        <f>IF(D19=1,D2*1.039%,0)</f>
        <v>0</v>
      </c>
    </row>
  </sheetData>
  <phoneticPr fontId="1"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4" max="4" width="11.666015625" customWidth="1" style="548"/>
    <col min="5" max="5" width="15.9990234375" customWidth="1" style="548"/>
  </cols>
  <sheetData>
    <row r="1" ht="14.002500000000003" customHeight="1">
      <c r="A1" s="6" t="s">
        <v>5</v>
      </c>
      <c r="B1" s="6" t="s">
        <v>237</v>
      </c>
      <c r="C1" s="6" t="s">
        <v>238</v>
      </c>
      <c r="D1" s="6" t="s">
        <v>544</v>
      </c>
      <c r="E1" s="6" t="s">
        <v>200</v>
      </c>
    </row>
    <row r="2" ht="14.002500000000003" customHeight="1">
      <c r="A2" s="6"/>
      <c r="B2" s="6"/>
      <c r="C2" s="6"/>
      <c r="D2" s="6" t="n">
        <f>'其他费自动计算'!C2</f>
        <v>3992.88</v>
      </c>
      <c r="E2" s="18" t="n">
        <f>SUM(E3:E21)</f>
        <v>133.636044</v>
      </c>
    </row>
    <row r="3" ht="14.002500000000003" customHeight="1">
      <c r="A3" s="6" t="n">
        <v>1</v>
      </c>
      <c r="B3" s="6" t="n">
        <v>200</v>
      </c>
      <c r="C3" s="19" t="n">
        <v>9</v>
      </c>
      <c r="D3" s="9" t="n">
        <f>IF(D2&lt;=B3,1,0)</f>
        <v>0</v>
      </c>
      <c r="E3" s="14" t="n">
        <f>IF(D3=1,(C3/D2*B3),0)</f>
        <v>0</v>
      </c>
    </row>
    <row r="4" ht="14.002500000000003" customHeight="1">
      <c r="A4" s="6" t="n">
        <v>2</v>
      </c>
      <c r="B4" s="6" t="n">
        <v>500</v>
      </c>
      <c r="C4" s="19" t="n">
        <v>20.9</v>
      </c>
      <c r="D4" s="9" t="n">
        <f>IF(AND($D$2&lt;=B4,$D$2&gt;B3),1,0)</f>
        <v>0</v>
      </c>
      <c r="E4" s="14" t="n">
        <f>IF($D4=1,(C3+(C4-C3)/($B4-$B3)*($D$2-$B3)),0)</f>
        <v>0</v>
      </c>
    </row>
    <row r="5" ht="14.002500000000003" customHeight="1">
      <c r="A5" s="6" t="n">
        <v>3</v>
      </c>
      <c r="B5" s="6" t="n">
        <v>1000</v>
      </c>
      <c r="C5" s="19" t="n">
        <v>38.8</v>
      </c>
      <c r="D5" s="9" t="n">
        <f>IF(AND($D$2&lt;=B5,$D$2&gt;B4),1,0)</f>
        <v>0</v>
      </c>
      <c r="E5" s="14" t="n">
        <f>IF($D5=1,(C4+(C5-C4)/($B5-$B4)*($D$2-$B4)),0)</f>
        <v>0</v>
      </c>
    </row>
    <row r="6" ht="14.002500000000003" customHeight="1">
      <c r="A6" s="6" t="n">
        <v>4</v>
      </c>
      <c r="B6" s="6" t="n">
        <v>3000</v>
      </c>
      <c r="C6" s="19" t="n">
        <v>103.8</v>
      </c>
      <c r="D6" s="9" t="n">
        <f>IF(AND($D$2&lt;=B6,$D$2&gt;B5),1,0)</f>
        <v>0</v>
      </c>
      <c r="E6" s="14" t="n">
        <f>IF($D6=1,(C5+(C6-C5)/($B6-$B5)*($D$2-$B5)),0)</f>
        <v>0</v>
      </c>
    </row>
    <row r="7" ht="14.002500000000003" customHeight="1">
      <c r="A7" s="6" t="n">
        <v>5</v>
      </c>
      <c r="B7" s="6" t="n">
        <v>5000</v>
      </c>
      <c r="C7" s="19" t="n">
        <v>163.9</v>
      </c>
      <c r="D7" s="9" t="n">
        <f>IF(AND($D$2&lt;=B7,$D$2&gt;B6),1,0)</f>
        <v>1</v>
      </c>
      <c r="E7" s="14" t="n">
        <f>IF($D7=1,(C6+(C7-C6)/($B7-$B6)*($D$2-$B6)),0)</f>
        <v>133.636044</v>
      </c>
    </row>
    <row r="8" ht="14.002500000000003" customHeight="1">
      <c r="A8" s="6" t="n">
        <v>6</v>
      </c>
      <c r="B8" s="6" t="n">
        <v>8000</v>
      </c>
      <c r="C8" s="19" t="n">
        <v>249.6</v>
      </c>
      <c r="D8" s="9" t="n">
        <f>IF(AND($D$2&lt;=B8,$D$2&gt;B7),1,0)</f>
        <v>0</v>
      </c>
      <c r="E8" s="14" t="n">
        <f>IF($D8=1,(C7+(C8-C7)/($B8-$B7)*($D$2-$B7)),0)</f>
        <v>0</v>
      </c>
    </row>
    <row r="9" ht="14.002500000000003" customHeight="1">
      <c r="A9" s="6" t="n">
        <v>7</v>
      </c>
      <c r="B9" s="6" t="n">
        <v>10000</v>
      </c>
      <c r="C9" s="19" t="n">
        <v>304.8</v>
      </c>
      <c r="D9" s="9" t="n">
        <f>IF(AND($D$2&lt;=B9,$D$2&gt;B8),1,0)</f>
        <v>0</v>
      </c>
      <c r="E9" s="14" t="n">
        <f>IF($D9=1,(C8+(C9-C8)/($B9-$B8)*($D$2-$B8)),0)</f>
        <v>0</v>
      </c>
    </row>
    <row r="10" ht="14.002500000000003" customHeight="1">
      <c r="A10" s="6" t="n">
        <v>8</v>
      </c>
      <c r="B10" s="6" t="n">
        <v>20000</v>
      </c>
      <c r="C10" s="19" t="n">
        <v>566.8</v>
      </c>
      <c r="D10" s="9" t="n">
        <f>IF(AND($D$2&lt;=B10,$D$2&gt;B9),1,0)</f>
        <v>0</v>
      </c>
      <c r="E10" s="14" t="n">
        <f>IF($D10=1,(C9+(C10-C9)/($B10-$B9)*($D$2-$B9)),0)</f>
        <v>0</v>
      </c>
    </row>
    <row r="11" ht="14.002500000000003" customHeight="1">
      <c r="A11" s="6" t="n">
        <v>9</v>
      </c>
      <c r="B11" s="6" t="n">
        <v>40000</v>
      </c>
      <c r="C11" s="19" t="n">
        <v>1054</v>
      </c>
      <c r="D11" s="9" t="n">
        <f>IF(AND($D$2&lt;=B11,$D$2&gt;B10),1,0)</f>
        <v>0</v>
      </c>
      <c r="E11" s="14" t="n">
        <f>IF($D11=1,(C10+(C11-C10)/($B11-$B10)*($D$2-$B10)),0)</f>
        <v>0</v>
      </c>
    </row>
    <row r="12" ht="14.002500000000003" customHeight="1">
      <c r="A12" s="6" t="n">
        <v>10</v>
      </c>
      <c r="B12" s="6" t="n">
        <v>60000</v>
      </c>
      <c r="C12" s="19" t="n">
        <v>1515.2</v>
      </c>
      <c r="D12" s="9" t="n">
        <f>IF(AND($D$2&lt;=B12,$D$2&gt;B11),1,0)</f>
        <v>0</v>
      </c>
      <c r="E12" s="14" t="n">
        <f>IF($D12=1,(C11+(C12-C11)/($B12-$B11)*($D$2-$B11)),0)</f>
        <v>0</v>
      </c>
    </row>
    <row r="13" ht="14.002500000000003" customHeight="1">
      <c r="A13" s="6" t="n">
        <v>11</v>
      </c>
      <c r="B13" s="6" t="n">
        <v>80000</v>
      </c>
      <c r="C13" s="19" t="n">
        <v>1960.1</v>
      </c>
      <c r="D13" s="9" t="n">
        <f>IF(AND($D$2&lt;=B13,$D$2&gt;B12),1,0)</f>
        <v>0</v>
      </c>
      <c r="E13" s="14" t="n">
        <f>IF($D13=1,(C12+(C13-C12)/($B13-$B12)*($D$2-$B12)),0)</f>
        <v>0</v>
      </c>
    </row>
    <row r="14" ht="14.002500000000003" customHeight="1">
      <c r="A14" s="6" t="n">
        <v>12</v>
      </c>
      <c r="B14" s="6" t="n">
        <v>100000</v>
      </c>
      <c r="C14" s="19" t="n">
        <v>2393.4</v>
      </c>
      <c r="D14" s="9" t="n">
        <f>IF(AND($D$2&lt;=B14,$D$2&gt;B13),1,0)</f>
        <v>0</v>
      </c>
      <c r="E14" s="14" t="n">
        <f>IF($D14=1,(C13+(C14-C13)/($B14-$B13)*($D$2-$B13)),0)</f>
        <v>0</v>
      </c>
    </row>
    <row r="15" ht="14.002500000000003" customHeight="1">
      <c r="A15" s="6" t="n">
        <v>13</v>
      </c>
      <c r="B15" s="6" t="n">
        <v>200000</v>
      </c>
      <c r="C15" s="19" t="n">
        <v>4450.8</v>
      </c>
      <c r="D15" s="9" t="n">
        <f>IF(AND($D$2&lt;=B15,$D$2&gt;B14),1,0)</f>
        <v>0</v>
      </c>
      <c r="E15" s="14" t="n">
        <f>IF($D15=1,(C14+(C15-C14)/($B15-$B14)*($D$2-$B14)),0)</f>
        <v>0</v>
      </c>
    </row>
    <row r="16" ht="14.002500000000003" customHeight="1">
      <c r="A16" s="6" t="n">
        <v>14</v>
      </c>
      <c r="B16" s="6" t="n">
        <v>400000</v>
      </c>
      <c r="C16" s="19" t="n">
        <v>8276.7</v>
      </c>
      <c r="D16" s="9" t="n">
        <f>IF(AND($D$2&lt;=B16,$D$2&gt;B15),1,0)</f>
        <v>0</v>
      </c>
      <c r="E16" s="14" t="n">
        <f>IF($D16=1,(C15+(C16-C15)/($B16-$B15)*($D$2-$B15)),0)</f>
        <v>0</v>
      </c>
    </row>
    <row r="17" ht="14.002500000000003" customHeight="1">
      <c r="A17" s="6" t="n">
        <v>15</v>
      </c>
      <c r="B17" s="6" t="n">
        <v>600000</v>
      </c>
      <c r="C17" s="19" t="n">
        <v>11897.5</v>
      </c>
      <c r="D17" s="9" t="n">
        <f>IF(AND($D$2&lt;=B17,$D$2&gt;B16),1,0)</f>
        <v>0</v>
      </c>
      <c r="E17" s="14" t="n">
        <f>IF($D17=1,(C16+(C17-C16)/($B17-$B16)*($D$2-$B16)),0)</f>
        <v>0</v>
      </c>
    </row>
    <row r="18" ht="14.002500000000003" customHeight="1">
      <c r="A18" s="6" t="n">
        <v>16</v>
      </c>
      <c r="B18" s="6" t="n">
        <v>800000</v>
      </c>
      <c r="C18" s="19" t="n">
        <v>15391.4</v>
      </c>
      <c r="D18" s="9" t="n">
        <f>IF(AND($D$2&lt;=B18,$D$2&gt;B17),1,0)</f>
        <v>0</v>
      </c>
      <c r="E18" s="14" t="n">
        <f>IF($D18=1,(C17+(C18-C17)/($B18-$B17)*($D$2-$B17)),0)</f>
        <v>0</v>
      </c>
    </row>
    <row r="19" ht="14.002500000000003" customHeight="1">
      <c r="A19" s="6" t="n">
        <v>17</v>
      </c>
      <c r="B19" s="6" t="n">
        <v>1000000</v>
      </c>
      <c r="C19" s="19" t="n">
        <v>18793.8</v>
      </c>
      <c r="D19" s="9" t="n">
        <f>IF(AND($D$2&lt;=B19,$D$2&gt;B18),1,0)</f>
        <v>0</v>
      </c>
      <c r="E19" s="14" t="n">
        <f>IF($D19=1,(C18+(C19-C18)/($B19-$B18)*($D$2-$B18)),0)</f>
        <v>0</v>
      </c>
    </row>
    <row r="20" ht="14.002500000000003" customHeight="1">
      <c r="A20" s="6" t="n">
        <v>18</v>
      </c>
      <c r="B20" s="6" t="n">
        <v>2000000</v>
      </c>
      <c r="C20" s="19" t="n">
        <v>34948.9</v>
      </c>
      <c r="D20" s="9" t="n">
        <f>IF(AND($D$2&lt;=B20,$D$2&gt;B19),1,0)</f>
        <v>0</v>
      </c>
      <c r="E20" s="14" t="n">
        <f>IF($D20=1,(C19+(C20-C19)/($B20-$B19)*($D$2-$B19)),0)</f>
        <v>0</v>
      </c>
    </row>
    <row r="21" ht="14.002500000000003" customHeight="1">
      <c r="A21" s="6" t="n">
        <v>19</v>
      </c>
      <c r="B21" s="6"/>
      <c r="C21" s="6"/>
      <c r="D21" s="9" t="n">
        <f>IF(D2&gt;B20,1,0)</f>
        <v>0</v>
      </c>
      <c r="E21" s="14" t="n">
        <f>IF(D21=1,D2*1.6%,0)</f>
        <v>0</v>
      </c>
    </row>
  </sheetData>
  <phoneticPr fontId="1"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1" max="1" width="89.8330078125" customWidth="1" style="548"/>
    <col min="3" max="3" width="11.666015625" customWidth="1" style="548"/>
    <col min="4" max="4" width="34.6640625" customWidth="1" style="548"/>
    <col min="6" max="6" width="5.4990234375" customWidth="1" style="548"/>
    <col min="8" max="8" width="2.8330078125" customWidth="1" style="548"/>
    <col min="9" max="9" width="7.5" customWidth="1" style="548"/>
    <col min="10" max="10" width="6" customWidth="1" style="548"/>
    <col min="11" max="11" width="5.4990234375" customWidth="1" style="548"/>
    <col min="12" max="12" width="13.8310546875" customWidth="1" style="548"/>
    <col min="13" max="13" width="15.9990234375" customWidth="1" style="548"/>
    <col min="14" max="14" width="3.498046875" customWidth="1" style="548"/>
  </cols>
  <sheetData>
    <row r="1" ht="14.002500000000003" customHeight="1">
      <c r="A1" s="475" t="s">
        <v>615</v>
      </c>
      <c r="B1" s="476"/>
      <c r="C1" s="476"/>
      <c r="D1" s="477"/>
    </row>
    <row r="2" ht="14.002500000000003" customHeight="1">
      <c r="A2" s="491" t="s">
        <v>138</v>
      </c>
      <c r="B2" s="340"/>
      <c r="C2" s="340"/>
      <c r="D2" s="492"/>
    </row>
    <row r="3" ht="27.649999999999995" customHeight="1">
      <c r="A3" s="545" t="s">
        <v>616</v>
      </c>
      <c r="B3" s="546"/>
      <c r="C3" s="546"/>
      <c r="D3" s="547"/>
      <c r="F3" s="341" t="s">
        <v>232</v>
      </c>
      <c r="G3" s="341"/>
      <c r="H3" s="341"/>
      <c r="I3" s="341"/>
      <c r="J3" s="341"/>
      <c r="K3" s="341"/>
      <c r="L3" s="341" t="s">
        <v>599</v>
      </c>
      <c r="M3" s="341" t="s">
        <v>234</v>
      </c>
    </row>
    <row r="4" ht="31.25" customHeight="1">
      <c r="A4" s="545" t="s">
        <v>617</v>
      </c>
      <c r="B4" s="546"/>
      <c r="C4" s="546"/>
      <c r="D4" s="547"/>
      <c r="F4" s="341" t="s">
        <v>5</v>
      </c>
      <c r="G4" s="341" t="s">
        <v>197</v>
      </c>
      <c r="H4" s="341"/>
      <c r="I4" s="341"/>
      <c r="J4" s="341" t="s">
        <v>235</v>
      </c>
      <c r="K4" s="341" t="s">
        <v>236</v>
      </c>
      <c r="L4" s="13" t="n">
        <f>'其他费自动计算'!C2</f>
        <v>3992.88</v>
      </c>
      <c r="M4" s="14" t="n">
        <f>SUM(M5:M10)</f>
        <v>64.8932</v>
      </c>
    </row>
    <row r="5" ht="14.002500000000003" customHeight="1">
      <c r="A5" s="534" t="s">
        <v>618</v>
      </c>
      <c r="B5" s="526"/>
      <c r="C5" s="526"/>
      <c r="D5" s="535"/>
      <c r="F5" s="341" t="n">
        <v>1</v>
      </c>
      <c r="G5" s="341"/>
      <c r="H5" s="341" t="s">
        <v>201</v>
      </c>
      <c r="I5" s="341" t="n">
        <v>1000</v>
      </c>
      <c r="J5" s="15" t="n">
        <v>0.02</v>
      </c>
      <c r="K5" s="341" t="n">
        <f>J5*I5</f>
        <v>20</v>
      </c>
      <c r="L5" s="9" t="n">
        <f>IF($L$4&lt;=I5,1,0)</f>
        <v>0</v>
      </c>
      <c r="M5" s="14" t="n">
        <f>IF(L5=1,(L4*J5),0)</f>
        <v>0</v>
      </c>
      <c r="N5" s="481" t="s">
        <v>614</v>
      </c>
    </row>
    <row r="6" ht="14.002500000000003" customHeight="1">
      <c r="A6" s="534" t="s">
        <v>619</v>
      </c>
      <c r="B6" s="526"/>
      <c r="C6" s="526"/>
      <c r="D6" s="535"/>
      <c r="F6" s="341" t="n">
        <v>2</v>
      </c>
      <c r="G6" s="341" t="n">
        <v>1001</v>
      </c>
      <c r="H6" s="341" t="s">
        <v>202</v>
      </c>
      <c r="I6" s="341" t="n">
        <v>5000</v>
      </c>
      <c r="J6" s="16" t="n">
        <v>0.015</v>
      </c>
      <c r="K6" s="341" t="n">
        <f>J6*I6</f>
        <v>75</v>
      </c>
      <c r="L6" s="9" t="n">
        <f>IF(AND($L$4&lt;=I6,$L$4&gt;G6),1,0)</f>
        <v>1</v>
      </c>
      <c r="M6" s="14" t="n">
        <f>IF(L6=1,(K5+($L$4-I5)*J6),0)</f>
        <v>64.8932</v>
      </c>
      <c r="N6" s="522"/>
    </row>
    <row r="7" ht="14.002500000000003" customHeight="1">
      <c r="A7" s="536" t="s">
        <v>620</v>
      </c>
      <c r="B7" s="537"/>
      <c r="C7" s="537"/>
      <c r="D7" s="538"/>
      <c r="F7" s="341" t="n">
        <v>3</v>
      </c>
      <c r="G7" s="341" t="n">
        <v>5001</v>
      </c>
      <c r="H7" s="341" t="s">
        <v>202</v>
      </c>
      <c r="I7" s="341" t="n">
        <v>10000</v>
      </c>
      <c r="J7" s="16" t="n">
        <v>0.012</v>
      </c>
      <c r="K7" s="341" t="n">
        <f>J7*I7</f>
        <v>120</v>
      </c>
      <c r="L7" s="9" t="n">
        <f>IF(AND($L$4&lt;=I7,$L$4&gt;G7),1,0)</f>
        <v>0</v>
      </c>
      <c r="M7" s="14" t="n">
        <f>IF(L7=1,(K6+($L$4-I6)*J7),0)</f>
        <v>0</v>
      </c>
      <c r="N7" s="522"/>
    </row>
    <row r="8" ht="14.002500000000003" customHeight="1">
      <c r="A8" s="539" t="n">
        <v>42557</v>
      </c>
      <c r="B8" s="540"/>
      <c r="C8" s="540"/>
      <c r="D8" s="541"/>
      <c r="F8" s="341" t="n">
        <v>4</v>
      </c>
      <c r="G8" s="341" t="n">
        <v>10001</v>
      </c>
      <c r="H8" s="341" t="s">
        <v>202</v>
      </c>
      <c r="I8" s="341" t="n">
        <v>50000</v>
      </c>
      <c r="J8" s="15" t="n">
        <v>0.01</v>
      </c>
      <c r="K8" s="341" t="n">
        <f>J8*I8</f>
        <v>500</v>
      </c>
      <c r="L8" s="9" t="n">
        <f>IF(AND($L$4&lt;=I8,$L$4&gt;G8),1,0)</f>
        <v>0</v>
      </c>
      <c r="M8" s="14" t="n">
        <f>IF(L8=1,(K7+($L$4-I7)*J8),0)</f>
        <v>0</v>
      </c>
      <c r="N8" s="522"/>
    </row>
    <row r="9" ht="14.002500000000003" customHeight="1">
      <c r="A9" s="542" t="s">
        <v>621</v>
      </c>
      <c r="B9" s="543"/>
      <c r="C9" s="543"/>
      <c r="D9" s="544"/>
      <c r="F9" s="341" t="n">
        <v>5</v>
      </c>
      <c r="G9" s="341" t="n">
        <v>50001</v>
      </c>
      <c r="H9" s="341" t="s">
        <v>202</v>
      </c>
      <c r="I9" s="341" t="n">
        <v>100000</v>
      </c>
      <c r="J9" s="16" t="n">
        <v>0.008</v>
      </c>
      <c r="K9" s="341" t="n">
        <f>J9*I9</f>
        <v>800</v>
      </c>
      <c r="L9" s="9" t="n">
        <f>IF(AND($L$4&lt;=I9,$L$4&gt;G9),1,0)</f>
        <v>0</v>
      </c>
      <c r="M9" s="14" t="n">
        <f>IF(L9=1,(K8+($L$4-I8)*J9),0)</f>
        <v>0</v>
      </c>
      <c r="N9" s="522"/>
    </row>
    <row r="10" ht="14.002500000000003" customHeight="1">
      <c r="A10" s="531" t="s">
        <v>622</v>
      </c>
      <c r="B10" s="532"/>
      <c r="C10" s="532"/>
      <c r="D10" s="533"/>
      <c r="F10" s="341" t="n">
        <v>6</v>
      </c>
      <c r="G10" s="341" t="n">
        <v>100000</v>
      </c>
      <c r="H10" s="341" t="s">
        <v>209</v>
      </c>
      <c r="I10" s="341"/>
      <c r="J10" s="16" t="n">
        <v>0.004</v>
      </c>
      <c r="K10" s="341"/>
      <c r="L10" s="9" t="n">
        <f>IF(AND($L$4&gt;G10),1,0)</f>
        <v>0</v>
      </c>
      <c r="M10" s="14" t="n">
        <f>IF(L10=1,(K9+($L$4-I9)*J10),0)</f>
        <v>0</v>
      </c>
      <c r="N10" s="482"/>
    </row>
    <row r="11" ht="14.002500000000003" customHeight="1">
      <c r="A11" s="528" t="s">
        <v>623</v>
      </c>
      <c r="B11" s="529"/>
      <c r="C11" s="529"/>
      <c r="D11" s="530"/>
    </row>
    <row r="12" ht="29.400000000000002" customHeight="1">
      <c r="A12" s="528" t="s">
        <v>624</v>
      </c>
      <c r="B12" s="529"/>
      <c r="C12" s="529"/>
      <c r="D12" s="530"/>
      <c r="L12" s="17" t="s">
        <v>625</v>
      </c>
    </row>
    <row r="13" ht="30.649999999999995" customHeight="1">
      <c r="A13" s="528" t="s">
        <v>626</v>
      </c>
      <c r="B13" s="529"/>
      <c r="C13" s="529"/>
      <c r="D13" s="530"/>
    </row>
    <row r="14" ht="31.75" customHeight="1">
      <c r="A14" s="528" t="s">
        <v>627</v>
      </c>
      <c r="B14" s="529"/>
      <c r="C14" s="529"/>
      <c r="D14" s="530"/>
    </row>
    <row r="15" ht="14.002500000000003" customHeight="1">
      <c r="A15" s="528" t="s">
        <v>628</v>
      </c>
      <c r="B15" s="529"/>
      <c r="C15" s="529"/>
      <c r="D15" s="530"/>
    </row>
    <row r="16" ht="14.002500000000003" customHeight="1">
      <c r="A16" s="528" t="s">
        <v>629</v>
      </c>
      <c r="B16" s="529"/>
      <c r="C16" s="529"/>
      <c r="D16" s="530"/>
    </row>
    <row r="17" ht="14.002500000000003" customHeight="1">
      <c r="A17" s="528" t="s">
        <v>630</v>
      </c>
      <c r="B17" s="529"/>
      <c r="C17" s="529"/>
      <c r="D17" s="530"/>
    </row>
    <row r="18" ht="14.002500000000003" customHeight="1">
      <c r="A18" s="528" t="s">
        <v>631</v>
      </c>
      <c r="B18" s="529"/>
      <c r="C18" s="529"/>
      <c r="D18" s="530"/>
    </row>
    <row r="19" ht="14.002500000000003" customHeight="1">
      <c r="A19" s="528" t="s">
        <v>632</v>
      </c>
      <c r="B19" s="529"/>
      <c r="C19" s="529"/>
      <c r="D19" s="530"/>
    </row>
    <row r="20" ht="16.25" customHeight="1">
      <c r="A20" s="528" t="s">
        <v>633</v>
      </c>
      <c r="B20" s="529"/>
      <c r="C20" s="529"/>
      <c r="D20" s="530"/>
    </row>
    <row r="21" ht="14.002500000000003" customHeight="1">
      <c r="A21" s="528" t="s">
        <v>634</v>
      </c>
      <c r="B21" s="529"/>
      <c r="C21" s="529"/>
      <c r="D21" s="530"/>
    </row>
    <row r="22" ht="14.002500000000003" customHeight="1">
      <c r="A22" s="528" t="s">
        <v>635</v>
      </c>
      <c r="B22" s="529"/>
      <c r="C22" s="529"/>
      <c r="D22" s="530"/>
    </row>
    <row r="23" ht="14.002500000000003" customHeight="1">
      <c r="A23" s="528" t="s">
        <v>636</v>
      </c>
      <c r="B23" s="529"/>
      <c r="C23" s="529"/>
      <c r="D23" s="530"/>
    </row>
    <row r="24" ht="14.002500000000003" customHeight="1">
      <c r="A24" s="528" t="s">
        <v>637</v>
      </c>
      <c r="B24" s="529"/>
      <c r="C24" s="529"/>
      <c r="D24" s="530"/>
    </row>
    <row r="25" ht="14.002500000000003" customHeight="1">
      <c r="A25" s="528" t="s">
        <v>638</v>
      </c>
      <c r="B25" s="529"/>
      <c r="C25" s="529"/>
      <c r="D25" s="530"/>
    </row>
    <row r="26" ht="40.75" customHeight="1">
      <c r="A26" s="528" t="s">
        <v>639</v>
      </c>
      <c r="B26" s="529"/>
      <c r="C26" s="529"/>
      <c r="D26" s="530"/>
    </row>
    <row r="27" ht="14.002500000000003" customHeight="1">
      <c r="A27" s="528" t="s">
        <v>640</v>
      </c>
      <c r="B27" s="529"/>
      <c r="C27" s="529"/>
      <c r="D27" s="530"/>
    </row>
    <row r="28" ht="28.25" customHeight="1">
      <c r="A28" s="528" t="s">
        <v>641</v>
      </c>
      <c r="B28" s="529"/>
      <c r="C28" s="529"/>
      <c r="D28" s="530"/>
    </row>
    <row r="29" ht="29.400000000000002" customHeight="1">
      <c r="A29" s="528" t="s">
        <v>642</v>
      </c>
      <c r="B29" s="529"/>
      <c r="C29" s="529"/>
      <c r="D29" s="530"/>
    </row>
    <row r="30" ht="28.25" customHeight="1">
      <c r="A30" s="528" t="s">
        <v>643</v>
      </c>
      <c r="B30" s="529"/>
      <c r="C30" s="529"/>
      <c r="D30" s="530"/>
    </row>
    <row r="31" ht="28.25" customHeight="1">
      <c r="A31" s="528" t="s">
        <v>644</v>
      </c>
      <c r="B31" s="529"/>
      <c r="C31" s="529"/>
      <c r="D31" s="530"/>
    </row>
    <row r="32" ht="28.75" customHeight="1">
      <c r="A32" s="528" t="s">
        <v>645</v>
      </c>
      <c r="B32" s="529"/>
      <c r="C32" s="529"/>
      <c r="D32" s="530"/>
    </row>
    <row r="33" ht="16.25" customHeight="1">
      <c r="A33" s="528" t="s">
        <v>646</v>
      </c>
      <c r="B33" s="529"/>
      <c r="C33" s="529"/>
      <c r="D33" s="530"/>
    </row>
    <row r="34" ht="28.75" customHeight="1">
      <c r="A34" s="528" t="s">
        <v>647</v>
      </c>
      <c r="B34" s="529"/>
      <c r="C34" s="529"/>
      <c r="D34" s="530"/>
    </row>
    <row r="35" ht="40.75" customHeight="1">
      <c r="A35" s="528" t="s">
        <v>648</v>
      </c>
      <c r="B35" s="529"/>
      <c r="C35" s="529"/>
      <c r="D35" s="530"/>
    </row>
    <row r="36" ht="14.002500000000003" customHeight="1">
      <c r="A36" s="528" t="s">
        <v>649</v>
      </c>
      <c r="B36" s="529"/>
      <c r="C36" s="529"/>
      <c r="D36" s="530"/>
    </row>
    <row r="37" ht="27.649999999999995" customHeight="1">
      <c r="A37" s="528" t="s">
        <v>650</v>
      </c>
      <c r="B37" s="529"/>
      <c r="C37" s="529"/>
      <c r="D37" s="530"/>
    </row>
    <row r="38" ht="14.002500000000003" customHeight="1">
      <c r="A38" s="528" t="s">
        <v>651</v>
      </c>
      <c r="B38" s="529"/>
      <c r="C38" s="529"/>
      <c r="D38" s="530"/>
    </row>
    <row r="39" ht="28.25" customHeight="1">
      <c r="A39" s="528" t="s">
        <v>652</v>
      </c>
      <c r="B39" s="529"/>
      <c r="C39" s="529"/>
      <c r="D39" s="530"/>
    </row>
    <row r="40" ht="18" customHeight="1">
      <c r="A40" s="523" t="s">
        <v>653</v>
      </c>
      <c r="B40" s="524"/>
      <c r="C40" s="524"/>
      <c r="D40" s="525"/>
    </row>
    <row r="41" ht="14.002500000000003" customHeight="1">
      <c r="A41" s="526" t="s">
        <v>654</v>
      </c>
      <c r="B41" s="526"/>
      <c r="C41" s="526"/>
      <c r="D41" s="526"/>
    </row>
    <row r="42" ht="14.002500000000003" customHeight="1">
      <c r="A42" s="332" t="s">
        <v>655</v>
      </c>
      <c r="B42" s="332"/>
      <c r="C42" s="332"/>
      <c r="D42" s="332"/>
    </row>
    <row r="43" ht="14.002500000000003" customHeight="1">
      <c r="A43" s="527" t="s">
        <v>85</v>
      </c>
      <c r="B43" s="527"/>
      <c r="C43" s="527"/>
      <c r="D43" s="527"/>
    </row>
    <row r="44" ht="14.002500000000003" customHeight="1">
      <c r="A44" s="341" t="s">
        <v>656</v>
      </c>
      <c r="B44" s="341" t="s">
        <v>235</v>
      </c>
      <c r="C44" s="341" t="s">
        <v>657</v>
      </c>
      <c r="D44" s="341"/>
    </row>
    <row r="45" ht="14.002500000000003" customHeight="1">
      <c r="A45" s="341"/>
      <c r="B45" s="341"/>
      <c r="C45" s="6" t="s">
        <v>656</v>
      </c>
      <c r="D45" s="6" t="s">
        <v>658</v>
      </c>
    </row>
    <row r="46" ht="14.002500000000003" customHeight="1">
      <c r="A46" s="6" t="s">
        <v>659</v>
      </c>
      <c r="B46" s="6" t="n">
        <v>2</v>
      </c>
      <c r="C46" s="6" t="n">
        <v>1000</v>
      </c>
      <c r="D46" s="6" t="s">
        <v>660</v>
      </c>
    </row>
    <row r="47" ht="14.002500000000003" customHeight="1">
      <c r="A47" s="6" t="s">
        <v>661</v>
      </c>
      <c r="B47" s="6" t="n">
        <v>1.5</v>
      </c>
      <c r="C47" s="6" t="n">
        <v>5000</v>
      </c>
      <c r="D47" s="6" t="s">
        <v>662</v>
      </c>
    </row>
    <row r="48" ht="14.002500000000003" customHeight="1">
      <c r="A48" s="6" t="s">
        <v>663</v>
      </c>
      <c r="B48" s="6" t="n">
        <v>1.2</v>
      </c>
      <c r="C48" s="6" t="n">
        <v>10000</v>
      </c>
      <c r="D48" s="6" t="s">
        <v>664</v>
      </c>
    </row>
    <row r="49" ht="14.002500000000003" customHeight="1">
      <c r="A49" s="6" t="s">
        <v>665</v>
      </c>
      <c r="B49" s="6" t="n">
        <v>1</v>
      </c>
      <c r="C49" s="6" t="n">
        <v>50000</v>
      </c>
      <c r="D49" s="6" t="s">
        <v>666</v>
      </c>
    </row>
    <row r="50" ht="14.002500000000003" customHeight="1">
      <c r="A50" s="6" t="s">
        <v>667</v>
      </c>
      <c r="B50" s="6" t="n">
        <v>0.8</v>
      </c>
      <c r="C50" s="6" t="n">
        <v>100000</v>
      </c>
      <c r="D50" s="6" t="s">
        <v>668</v>
      </c>
    </row>
    <row r="51" ht="14.002500000000003" customHeight="1">
      <c r="A51" s="6" t="s">
        <v>609</v>
      </c>
      <c r="B51" s="6" t="n">
        <v>0.4</v>
      </c>
      <c r="C51" s="6" t="n">
        <v>200000</v>
      </c>
      <c r="D51" s="6" t="s">
        <v>669</v>
      </c>
    </row>
    <row r="53" ht="14.002500000000003" customHeight="1">
      <c r="A53" s="548" t="s">
        <v>670</v>
      </c>
    </row>
  </sheetData>
  <mergeCells count="49">
    <mergeCell ref="A37:D37"/>
    <mergeCell ref="A36:D36"/>
    <mergeCell ref="A31:D31"/>
    <mergeCell ref="A3:D3"/>
    <mergeCell ref="A9:D9"/>
    <mergeCell ref="A43:D43"/>
    <mergeCell ref="A25:D25"/>
    <mergeCell ref="N5:N10"/>
    <mergeCell ref="A6:D6"/>
    <mergeCell ref="A16:D16"/>
    <mergeCell ref="A19:D19"/>
    <mergeCell ref="A22:D22"/>
    <mergeCell ref="A32:D32"/>
    <mergeCell ref="A7:D7"/>
    <mergeCell ref="A5:D5"/>
    <mergeCell ref="A21:D21"/>
    <mergeCell ref="A26:D26"/>
    <mergeCell ref="A40:D40"/>
    <mergeCell ref="A29:D29"/>
    <mergeCell ref="A24:D24"/>
    <mergeCell ref="A11:D11"/>
    <mergeCell ref="A34:D34"/>
    <mergeCell ref="A44:A45"/>
    <mergeCell ref="A30:D30"/>
    <mergeCell ref="A10:D10"/>
    <mergeCell ref="A18:D18"/>
    <mergeCell ref="A35:D35"/>
    <mergeCell ref="A27:D27"/>
    <mergeCell ref="A14:D14"/>
    <mergeCell ref="G4:I4"/>
    <mergeCell ref="A20:D20"/>
    <mergeCell ref="A23:D23"/>
    <mergeCell ref="A28:D28"/>
    <mergeCell ref="A8:D8"/>
    <mergeCell ref="A12:D12"/>
    <mergeCell ref="C44:D44"/>
    <mergeCell ref="A42:D42"/>
    <mergeCell ref="A2:D2"/>
    <mergeCell ref="F3:K3"/>
    <mergeCell ref="B44:B45"/>
    <mergeCell ref="A38:D38"/>
    <mergeCell ref="A1:D1"/>
    <mergeCell ref="A13:D13"/>
    <mergeCell ref="A17:D17"/>
    <mergeCell ref="A33:D33"/>
    <mergeCell ref="A15:D15"/>
    <mergeCell ref="A39:D39"/>
    <mergeCell ref="A41:D41"/>
    <mergeCell ref="A4:D4"/>
  </mergeCells>
  <phoneticPr fontId="1"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 defaultRowHeight="14.002500000000003" customHeight="1"/>
  <cols>
    <col min="1" max="1" width="62.33203125" customWidth="1" style="548"/>
  </cols>
  <sheetData>
    <row r="1" ht="14.002500000000003" customHeight="1">
      <c r="A1" s="11" t="s">
        <v>671</v>
      </c>
    </row>
    <row r="2" ht="28" customHeight="1">
      <c r="A2" s="11" t="s">
        <v>672</v>
      </c>
    </row>
    <row r="3" ht="56" customHeight="1">
      <c r="A3" s="11" t="s">
        <v>673</v>
      </c>
    </row>
    <row r="4" ht="28" customHeight="1">
      <c r="A4" s="11" t="s">
        <v>674</v>
      </c>
    </row>
    <row r="5" ht="14.002500000000003" customHeight="1">
      <c r="A5" s="11" t="s">
        <v>675</v>
      </c>
    </row>
    <row r="6" ht="28" customHeight="1">
      <c r="A6" s="11" t="s">
        <v>676</v>
      </c>
    </row>
    <row r="7" ht="14.002500000000003" customHeight="1">
      <c r="A7" s="11" t="s">
        <v>677</v>
      </c>
    </row>
    <row r="8" ht="28" customHeight="1">
      <c r="A8" s="11" t="s">
        <v>678</v>
      </c>
    </row>
    <row r="9" ht="14.002500000000003" customHeight="1">
      <c r="A9" s="11" t="s">
        <v>679</v>
      </c>
    </row>
  </sheetData>
  <phoneticPr fontId="1"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tabColor rgb="FFFFFF00"/>
    <outlinePr summaryBelow="0" summaryRight="0"/>
  </sheetPr>
  <dimension ref="A1"/>
  <sheetViews>
    <sheetView workbookViewId="0"/>
  </sheetViews>
  <sheetFormatPr baseColWidth="10" defaultColWidth="9" defaultRowHeight="14.002500000000003" customHeight="1"/>
  <cols>
    <col min="6" max="6" width="11.666015625" customWidth="1" style="548"/>
  </cols>
  <sheetData>
    <row r="1" ht="28" customHeight="1">
      <c r="A1" s="341" t="s">
        <v>5</v>
      </c>
      <c r="B1" s="570" t="s">
        <v>680</v>
      </c>
      <c r="C1" s="341"/>
      <c r="D1" s="341"/>
      <c r="E1" s="6" t="s">
        <v>681</v>
      </c>
      <c r="F1" s="6" t="s">
        <v>544</v>
      </c>
      <c r="G1" s="5" t="s">
        <v>200</v>
      </c>
    </row>
    <row r="2" ht="14.002500000000003" customHeight="1">
      <c r="A2" s="341"/>
      <c r="B2" s="6"/>
      <c r="C2" s="6"/>
      <c r="D2" s="6"/>
      <c r="E2" s="6"/>
      <c r="F2" s="7"/>
      <c r="G2" s="341"/>
      <c r="H2" s="8"/>
      <c r="I2" s="8"/>
      <c r="J2" s="8"/>
      <c r="K2" s="8"/>
      <c r="L2" s="8"/>
    </row>
    <row r="3" ht="14.002500000000003" customHeight="1">
      <c r="A3" s="6" t="n">
        <v>1</v>
      </c>
      <c r="B3" s="6"/>
      <c r="C3" s="341" t="s">
        <v>209</v>
      </c>
      <c r="D3" s="6" t="n">
        <f>10000*0.05</f>
        <v>500</v>
      </c>
      <c r="E3" s="6" t="n">
        <v>2</v>
      </c>
      <c r="F3" s="9" t="n">
        <f>IF(F2&lt;=D3,1,0)</f>
        <v>1</v>
      </c>
      <c r="G3" s="341" t="n">
        <f>IF(F3=1,E3/D3*F2,0)</f>
        <v>0</v>
      </c>
      <c r="H3" s="8"/>
    </row>
    <row r="4" ht="14.002500000000003" customHeight="1">
      <c r="A4" s="6" t="n">
        <v>2</v>
      </c>
      <c r="B4" s="6" t="n">
        <f>10000*0.05</f>
        <v>500</v>
      </c>
      <c r="C4" s="341" t="s">
        <v>202</v>
      </c>
      <c r="D4" s="6" t="n">
        <f>10000*0.1</f>
        <v>1000</v>
      </c>
      <c r="E4" s="6" t="n">
        <v>3.5</v>
      </c>
      <c r="F4" s="9" t="n">
        <f>IF(AND($F$2&lt;=D4,$F$2&gt;B4),1,0)</f>
        <v>0</v>
      </c>
      <c r="G4" s="341" t="n">
        <f>IF(F4=1,(E3+(E4-E3)/(D4-B4)*($F$2-B4)),0)</f>
        <v>0</v>
      </c>
      <c r="H4" s="8"/>
    </row>
    <row r="5" ht="14.002500000000003" customHeight="1">
      <c r="A5" s="6" t="n">
        <v>3</v>
      </c>
      <c r="B5" s="6" t="n">
        <f>10000*0.1</f>
        <v>1000</v>
      </c>
      <c r="C5" s="341" t="s">
        <v>202</v>
      </c>
      <c r="D5" s="6" t="n">
        <f>10000*0.2</f>
        <v>2000</v>
      </c>
      <c r="E5" s="6" t="n">
        <v>5</v>
      </c>
      <c r="F5" s="9" t="n">
        <f>IF(AND($F$2&lt;=D5,$F$2&gt;B5),1,0)</f>
        <v>0</v>
      </c>
      <c r="G5" s="341" t="n">
        <f>IF(F5=1,(E4+(E5-E4)/(D5-B5)*($F$2-B5)),0)</f>
        <v>0</v>
      </c>
      <c r="H5" s="8"/>
    </row>
    <row r="6" ht="14.002500000000003" customHeight="1">
      <c r="A6" s="6" t="n">
        <v>4</v>
      </c>
      <c r="B6" s="6" t="n">
        <f>10000*0.2</f>
        <v>2000</v>
      </c>
      <c r="C6" s="10" t="s">
        <v>202</v>
      </c>
      <c r="D6" s="6" t="n">
        <v>5000</v>
      </c>
      <c r="E6" s="6" t="n">
        <v>7</v>
      </c>
      <c r="F6" s="9" t="n">
        <f>IF(AND($F$2&lt;=D6,$F$2&gt;B6),1,0)</f>
        <v>0</v>
      </c>
      <c r="G6" s="341" t="n">
        <f>IF(F6=1,(E5+(E6-E5)/(D6-B6)*($F$2-B6)),0)</f>
        <v>0</v>
      </c>
      <c r="H6" s="8"/>
    </row>
    <row r="7" ht="14.002500000000003" customHeight="1">
      <c r="A7" s="6" t="n">
        <v>5</v>
      </c>
      <c r="B7" s="6" t="n">
        <f>10000*0.5</f>
        <v>5000</v>
      </c>
      <c r="C7" s="341" t="s">
        <v>202</v>
      </c>
      <c r="D7" s="6" t="n">
        <v>10000</v>
      </c>
      <c r="E7" s="6" t="n">
        <f>0.5*1.5*10000/1000</f>
        <v>7.5</v>
      </c>
      <c r="F7" s="9" t="n">
        <f>IF(AND($F$2&lt;=D7,$F$2&gt;B7),1,0)</f>
        <v>0</v>
      </c>
      <c r="G7" s="341" t="n">
        <f>IF(F7=1,(E6+(E7-E6)/(D7-B7)*($F$2-B7)),0)</f>
        <v>0</v>
      </c>
      <c r="H7" s="8"/>
    </row>
    <row r="8" ht="14.002500000000003" customHeight="1">
      <c r="A8" s="6" t="n">
        <v>6</v>
      </c>
      <c r="B8" s="6" t="n">
        <v>10000</v>
      </c>
      <c r="C8" s="341" t="s">
        <v>202</v>
      </c>
      <c r="D8" s="6" t="n">
        <v>20000</v>
      </c>
      <c r="E8" s="6" t="n">
        <f>1*10000*1/1000</f>
        <v>10</v>
      </c>
      <c r="F8" s="9" t="n">
        <f>IF(AND($F$2&lt;=D8,$F$2&gt;B8),1,0)</f>
        <v>0</v>
      </c>
      <c r="G8" s="341" t="n">
        <f>IF(F8=1,(E7+(E8-E7)/(D8-B8)*($F$2-B8)),0)</f>
        <v>0</v>
      </c>
      <c r="H8" s="8"/>
    </row>
    <row r="9" ht="14.002500000000003" customHeight="1">
      <c r="A9" s="6" t="n">
        <v>7</v>
      </c>
      <c r="B9" s="6" t="n">
        <v>20000</v>
      </c>
      <c r="C9" s="341" t="s">
        <v>202</v>
      </c>
      <c r="D9" s="6" t="n">
        <v>50000</v>
      </c>
      <c r="E9" s="6" t="n">
        <f>2*0.7*10000/1000</f>
        <v>14</v>
      </c>
      <c r="F9" s="9" t="n">
        <f>IF(AND($F$2&lt;=D9,$F$2&gt;B9),1,0)</f>
        <v>0</v>
      </c>
      <c r="G9" s="341" t="n">
        <f>IF(F9=1,(E8+(E9-E8)/(D9-B9)*($F$2-B9)),0)</f>
        <v>0</v>
      </c>
      <c r="H9" s="8"/>
    </row>
    <row r="10" ht="14.002500000000003" customHeight="1">
      <c r="A10" s="6" t="n">
        <v>8</v>
      </c>
      <c r="B10" s="6" t="n">
        <v>50000</v>
      </c>
      <c r="C10" s="341" t="s">
        <v>202</v>
      </c>
      <c r="D10" s="6" t="n">
        <v>100000</v>
      </c>
      <c r="E10" s="6" t="n">
        <f>5*0.4*10000/1000</f>
        <v>20</v>
      </c>
      <c r="F10" s="9" t="n">
        <f>IF(AND($F$2&lt;=D10,$F$2&gt;B10),1,0)</f>
        <v>0</v>
      </c>
      <c r="G10" s="341" t="n">
        <f>IF(F10=1,(E9+(E10-E9)/(D10-B10)*($F$2-B10)),0)</f>
        <v>0</v>
      </c>
      <c r="H10" s="8"/>
    </row>
    <row r="11" ht="14.002500000000003" customHeight="1">
      <c r="A11" s="6" t="n">
        <v>9</v>
      </c>
      <c r="B11" s="6" t="n">
        <v>100000</v>
      </c>
      <c r="C11" s="6"/>
      <c r="D11" s="6"/>
      <c r="E11" s="6" t="n">
        <f>10*0.3*10000/1000</f>
        <v>30</v>
      </c>
      <c r="F11" s="9" t="n">
        <f>IF(F2&gt;B11,1,0)</f>
        <v>0</v>
      </c>
      <c r="G11" s="341" t="n">
        <f>IF(F11=1,E11/B11*F2,0)</f>
        <v>0</v>
      </c>
      <c r="H11" s="8"/>
    </row>
    <row r="12" ht="14.002500000000003" customHeight="1">
      <c r="G12" s="8"/>
      <c r="H12" s="8"/>
    </row>
  </sheetData>
  <mergeCells count="2">
    <mergeCell ref="B1:D1"/>
    <mergeCell ref="A1:A2"/>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2025-10-09T15:52:49Z</dcterms:modified>
</cp:coreProperties>
</file>