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GUELMOUSSI\Desktop\Climalife\"/>
    </mc:Choice>
  </mc:AlternateContent>
  <xr:revisionPtr revIDLastSave="0" documentId="13_ncr:1_{7433C5F7-9C22-4F8E-A9C1-1D455D883EB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se de donnees (a jour)" sheetId="2" r:id="rId1"/>
    <sheet name="calcul parametres" sheetId="3" r:id="rId2"/>
    <sheet name="Formule moléculai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O2" i="2"/>
  <c r="P2" i="2"/>
  <c r="Q2" i="2"/>
  <c r="R2" i="2"/>
  <c r="S2" i="2"/>
  <c r="T2" i="2"/>
  <c r="V2" i="2"/>
  <c r="W2" i="2"/>
  <c r="O3" i="2"/>
  <c r="P3" i="2"/>
  <c r="Q3" i="2"/>
  <c r="R3" i="2"/>
  <c r="S3" i="2"/>
  <c r="T3" i="2"/>
  <c r="V3" i="2"/>
  <c r="W3" i="2"/>
  <c r="G4" i="2"/>
  <c r="H4" i="2"/>
  <c r="I4" i="2"/>
  <c r="J4" i="2"/>
  <c r="K4" i="2"/>
  <c r="L4" i="2"/>
  <c r="M4" i="2"/>
  <c r="C5" i="2"/>
  <c r="D5" i="2"/>
  <c r="E5" i="2"/>
  <c r="F5" i="2"/>
  <c r="O6" i="2"/>
  <c r="P6" i="2"/>
  <c r="Q6" i="2"/>
  <c r="R6" i="2"/>
  <c r="S6" i="2"/>
  <c r="T6" i="2"/>
  <c r="V6" i="2"/>
  <c r="W6" i="2"/>
  <c r="O7" i="2"/>
  <c r="P7" i="2"/>
  <c r="Q7" i="2"/>
  <c r="R7" i="2"/>
  <c r="S7" i="2"/>
  <c r="T7" i="2"/>
  <c r="V7" i="2"/>
  <c r="W7" i="2"/>
  <c r="O8" i="2"/>
  <c r="P8" i="2"/>
  <c r="Q8" i="2"/>
  <c r="R8" i="2"/>
  <c r="S8" i="2"/>
  <c r="T8" i="2"/>
  <c r="V8" i="2"/>
  <c r="W8" i="2"/>
  <c r="O9" i="2"/>
  <c r="P9" i="2"/>
  <c r="Q9" i="2"/>
  <c r="R9" i="2"/>
  <c r="S9" i="2"/>
  <c r="T9" i="2"/>
  <c r="V9" i="2"/>
  <c r="W9" i="2"/>
  <c r="O10" i="2"/>
  <c r="P10" i="2"/>
  <c r="Q10" i="2"/>
  <c r="R10" i="2"/>
  <c r="S10" i="2"/>
  <c r="T10" i="2"/>
  <c r="V10" i="2"/>
  <c r="W10" i="2"/>
  <c r="V11" i="2"/>
  <c r="W11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O17" i="2"/>
  <c r="P17" i="2"/>
  <c r="Q17" i="2"/>
  <c r="R17" i="2"/>
  <c r="S17" i="2"/>
  <c r="T17" i="2"/>
  <c r="V17" i="2"/>
  <c r="W17" i="2"/>
  <c r="C18" i="2"/>
  <c r="D18" i="2"/>
  <c r="E18" i="2"/>
  <c r="F18" i="2"/>
  <c r="C19" i="2"/>
  <c r="D19" i="2"/>
  <c r="E19" i="2"/>
  <c r="F19" i="2"/>
  <c r="G20" i="2"/>
  <c r="H20" i="2"/>
  <c r="I20" i="2"/>
  <c r="J20" i="2"/>
  <c r="K20" i="2"/>
  <c r="L20" i="2"/>
  <c r="M20" i="2"/>
  <c r="G21" i="2"/>
  <c r="H21" i="2"/>
  <c r="I21" i="2"/>
  <c r="J21" i="2"/>
  <c r="K21" i="2"/>
  <c r="L21" i="2"/>
  <c r="M21" i="2"/>
  <c r="T28" i="3"/>
  <c r="T27" i="3"/>
  <c r="T26" i="3"/>
  <c r="T25" i="3"/>
  <c r="T24" i="3"/>
  <c r="T23" i="3"/>
  <c r="T22" i="3"/>
  <c r="T21" i="3"/>
  <c r="T20" i="3"/>
  <c r="T18" i="3"/>
  <c r="T16" i="3"/>
  <c r="T13" i="3"/>
  <c r="T11" i="3"/>
  <c r="T12" i="3"/>
  <c r="T35" i="3"/>
  <c r="T34" i="3"/>
  <c r="T33" i="3"/>
  <c r="T32" i="3"/>
  <c r="T31" i="3"/>
  <c r="T30" i="3"/>
  <c r="T29" i="3"/>
  <c r="T4" i="3"/>
  <c r="T5" i="3"/>
  <c r="T6" i="3"/>
  <c r="T7" i="3"/>
  <c r="T8" i="3"/>
  <c r="T9" i="3"/>
  <c r="B2" i="2" l="1"/>
  <c r="B5" i="2"/>
  <c r="B13" i="2"/>
  <c r="B14" i="2"/>
  <c r="B15" i="2"/>
  <c r="B16" i="2"/>
  <c r="B18" i="2"/>
  <c r="B19" i="2"/>
</calcChain>
</file>

<file path=xl/sharedStrings.xml><?xml version="1.0" encoding="utf-8"?>
<sst xmlns="http://schemas.openxmlformats.org/spreadsheetml/2006/main" count="198" uniqueCount="160">
  <si>
    <t>Produits</t>
  </si>
  <si>
    <t>Conductivité thermique</t>
  </si>
  <si>
    <t>Masse volumique</t>
  </si>
  <si>
    <t>Viscosité cinématique</t>
  </si>
  <si>
    <t>b</t>
  </si>
  <si>
    <t xml:space="preserve">Chaleur spécifique </t>
  </si>
  <si>
    <t>a1</t>
  </si>
  <si>
    <t>a2</t>
  </si>
  <si>
    <t>a3</t>
  </si>
  <si>
    <t>Point d'ébullition (plus ou moins 1)</t>
  </si>
  <si>
    <t>Point de congélation (plus ou moins 2)</t>
  </si>
  <si>
    <t>Thermera -10</t>
  </si>
  <si>
    <t>Thermera -15</t>
  </si>
  <si>
    <t>Thermera -20</t>
  </si>
  <si>
    <t>Thermera -30</t>
  </si>
  <si>
    <t>Thermera -35</t>
  </si>
  <si>
    <t>Thermera -40</t>
  </si>
  <si>
    <t>SOLUFLUID SOLAR</t>
  </si>
  <si>
    <t xml:space="preserve">SOLUFLUID </t>
  </si>
  <si>
    <t>Greenway Neo Solar -25</t>
  </si>
  <si>
    <t>Greenway Neo Solar -30</t>
  </si>
  <si>
    <t>Solufluid</t>
  </si>
  <si>
    <t>Food Yellow 4</t>
  </si>
  <si>
    <t>Food Blue 2</t>
  </si>
  <si>
    <t>CONSPERSE 164</t>
  </si>
  <si>
    <t>Belclene 400</t>
  </si>
  <si>
    <r>
      <t xml:space="preserve">Mel colorant rouge </t>
    </r>
    <r>
      <rPr>
        <sz val="11"/>
        <color rgb="FFFF0000"/>
        <rFont val="Calibri"/>
        <family val="2"/>
        <scheme val="minor"/>
      </rPr>
      <t>alimentaire</t>
    </r>
  </si>
  <si>
    <t>Mel Colorant jaune alimentaire</t>
  </si>
  <si>
    <t>Water demineralised</t>
  </si>
  <si>
    <t>1,3-propanediol</t>
  </si>
  <si>
    <t>MEG technique</t>
  </si>
  <si>
    <t>MPG</t>
  </si>
  <si>
    <t>DKP (dipotassium phosphate)</t>
  </si>
  <si>
    <t>Benzoate de sodium</t>
  </si>
  <si>
    <t>Sodium Metasilicate Pentahydrate</t>
  </si>
  <si>
    <t>Benzoate de denatonium in MPG</t>
  </si>
  <si>
    <t>Benzoate de denatonium in MEG</t>
  </si>
  <si>
    <t>Acide Sebacique</t>
  </si>
  <si>
    <r>
      <t>Lessive de potasse</t>
    </r>
    <r>
      <rPr>
        <sz val="11"/>
        <color rgb="FFFF0000"/>
        <rFont val="Calibri"/>
        <family val="2"/>
        <scheme val="minor"/>
      </rPr>
      <t xml:space="preserve"> 50%</t>
    </r>
  </si>
  <si>
    <t>Tolytriazol granulé</t>
  </si>
  <si>
    <t>Anti M.Foam BAN 136B</t>
  </si>
  <si>
    <t>Soude 30,5%</t>
  </si>
  <si>
    <t>Mel MPG/Rouge 96/4</t>
  </si>
  <si>
    <t>NUTRISTIM</t>
  </si>
  <si>
    <t>THERMOCON B</t>
  </si>
  <si>
    <t>Greenway Neo Solar N -25</t>
  </si>
  <si>
    <t>Greenway Neo Solar N -30</t>
  </si>
  <si>
    <t>GWP</t>
  </si>
  <si>
    <t>Friogel</t>
  </si>
  <si>
    <t>Friogel Neo -13</t>
  </si>
  <si>
    <t>Friogel Neo -18</t>
  </si>
  <si>
    <t>Friogel Neo -23</t>
  </si>
  <si>
    <t>Friogel Neo -29</t>
  </si>
  <si>
    <t>Friogel Neo -34</t>
  </si>
  <si>
    <t>Neutragel Neo</t>
  </si>
  <si>
    <r>
      <t xml:space="preserve">Neutragel Neo </t>
    </r>
    <r>
      <rPr>
        <b/>
        <sz val="11"/>
        <rFont val="Calibri"/>
        <family val="2"/>
        <scheme val="minor"/>
      </rPr>
      <t>-13</t>
    </r>
  </si>
  <si>
    <r>
      <t xml:space="preserve">Neutragel Neo </t>
    </r>
    <r>
      <rPr>
        <b/>
        <sz val="11"/>
        <rFont val="Calibri"/>
        <family val="2"/>
        <scheme val="minor"/>
      </rPr>
      <t>-16</t>
    </r>
  </si>
  <si>
    <r>
      <t xml:space="preserve">Neutragel Neo </t>
    </r>
    <r>
      <rPr>
        <b/>
        <sz val="11"/>
        <rFont val="Calibri"/>
        <family val="2"/>
        <scheme val="minor"/>
      </rPr>
      <t>-18</t>
    </r>
  </si>
  <si>
    <r>
      <t>Neutragel Neo -</t>
    </r>
    <r>
      <rPr>
        <b/>
        <sz val="11"/>
        <rFont val="Calibri"/>
        <family val="2"/>
        <scheme val="minor"/>
      </rPr>
      <t>20</t>
    </r>
  </si>
  <si>
    <r>
      <t xml:space="preserve">Neutragel Neo </t>
    </r>
    <r>
      <rPr>
        <b/>
        <sz val="11"/>
        <rFont val="Calibri"/>
        <family val="2"/>
        <scheme val="minor"/>
      </rPr>
      <t>-27</t>
    </r>
  </si>
  <si>
    <r>
      <t xml:space="preserve">Neutragel Neo </t>
    </r>
    <r>
      <rPr>
        <b/>
        <sz val="11"/>
        <rFont val="Calibri"/>
        <family val="2"/>
        <scheme val="minor"/>
      </rPr>
      <t>-32</t>
    </r>
  </si>
  <si>
    <r>
      <t xml:space="preserve">Neutragel Neo </t>
    </r>
    <r>
      <rPr>
        <b/>
        <sz val="11"/>
        <rFont val="Calibri"/>
        <family val="2"/>
        <scheme val="minor"/>
      </rPr>
      <t>-39</t>
    </r>
  </si>
  <si>
    <t>Greenway Neo Solar N</t>
  </si>
  <si>
    <t>Greenway Neo N</t>
  </si>
  <si>
    <t>Greenway Neo -13</t>
  </si>
  <si>
    <t>Greenway Neo -18</t>
  </si>
  <si>
    <t>Greenway Neo -20</t>
  </si>
  <si>
    <t>Greenway Neo N -25</t>
  </si>
  <si>
    <t>Greenway Neo N -35</t>
  </si>
  <si>
    <t>Greenway Neo N -39</t>
  </si>
  <si>
    <t>Greenway Neo N-25 (70%)</t>
  </si>
  <si>
    <t>Greenway Neo N -35 (80%)</t>
  </si>
  <si>
    <t>Greenway Neo N -39 (90%)</t>
  </si>
  <si>
    <t>Greenway Neo N-20 (60%)</t>
  </si>
  <si>
    <t>Greenway Neo N-18 (50%)</t>
  </si>
  <si>
    <t>Greenway Neo N-13 (40%)</t>
  </si>
  <si>
    <t>FRIOGEL Neo N-18 (35%)</t>
  </si>
  <si>
    <t>FRIOGEL Neo N-13 (30%)</t>
  </si>
  <si>
    <t>FRIOGEL Neo N-23 (40%)</t>
  </si>
  <si>
    <t>FRIOGEL Neo N-29 (45%)</t>
  </si>
  <si>
    <t>FRIOGEL Neo N-34 (50%)</t>
  </si>
  <si>
    <t>Greenway Neo N (100%)</t>
  </si>
  <si>
    <t>Thermera -10 (30%)</t>
  </si>
  <si>
    <t>Thermera -15 (36%)</t>
  </si>
  <si>
    <t>Thermera -20 (40,5%)</t>
  </si>
  <si>
    <t>Thermera -25 (44,5%)</t>
  </si>
  <si>
    <t>Thermera -30 (47%)</t>
  </si>
  <si>
    <t>Thermera -35 (49,8%)</t>
  </si>
  <si>
    <t>Thermera -40 (52%)</t>
  </si>
  <si>
    <t>x</t>
  </si>
  <si>
    <t>thermal_conductivity b</t>
  </si>
  <si>
    <t>density a1</t>
  </si>
  <si>
    <t>density a2</t>
  </si>
  <si>
    <t>density a3</t>
  </si>
  <si>
    <t>density b</t>
  </si>
  <si>
    <t>kinematic_viscosity_b</t>
  </si>
  <si>
    <t>specific_heat_a1</t>
  </si>
  <si>
    <t>specific_heat_a2</t>
  </si>
  <si>
    <t>specific_heat_a3</t>
  </si>
  <si>
    <t>specific_heat_b</t>
  </si>
  <si>
    <t>boiling_point</t>
  </si>
  <si>
    <t>freezing_point</t>
  </si>
  <si>
    <t>thermal_conductivity a1</t>
  </si>
  <si>
    <t>thermal_conductivity a2</t>
  </si>
  <si>
    <t>thermal_conductivity a3</t>
  </si>
  <si>
    <t>Raw Materials</t>
  </si>
  <si>
    <t>Formule</t>
  </si>
  <si>
    <t>C</t>
  </si>
  <si>
    <t>O</t>
  </si>
  <si>
    <t>H</t>
  </si>
  <si>
    <t>OH</t>
  </si>
  <si>
    <t>COOH</t>
  </si>
  <si>
    <t>K</t>
  </si>
  <si>
    <t>P</t>
  </si>
  <si>
    <t>Na</t>
  </si>
  <si>
    <t>Si</t>
  </si>
  <si>
    <t>N</t>
  </si>
  <si>
    <t>S</t>
  </si>
  <si>
    <t>H20</t>
  </si>
  <si>
    <t>C3H802</t>
  </si>
  <si>
    <t>C2H6O2</t>
  </si>
  <si>
    <t>HK204P</t>
  </si>
  <si>
    <t>C7H5NaO2</t>
  </si>
  <si>
    <t>H10Na2O8Si</t>
  </si>
  <si>
    <t>C16H9N4Na3O9S2</t>
  </si>
  <si>
    <t>C37H34N2Na2O9S3</t>
  </si>
  <si>
    <t>C28H34N2O3 </t>
  </si>
  <si>
    <t>C10H18O4</t>
  </si>
  <si>
    <t>KOH</t>
  </si>
  <si>
    <t>C7H7N3</t>
  </si>
  <si>
    <t>NaOH</t>
  </si>
  <si>
    <t>Nbr formules</t>
  </si>
  <si>
    <t>SMILES</t>
  </si>
  <si>
    <t>OCCCO</t>
  </si>
  <si>
    <t>CC(CO)O</t>
  </si>
  <si>
    <t>OP(=O)([O-])[O-].[K+].[K+]</t>
  </si>
  <si>
    <t>C1=CC=C(C=C1)C(=O)[O-].[Na+]</t>
  </si>
  <si>
    <t>C(CO)O</t>
  </si>
  <si>
    <t>O.O.O.O.O.[O-][Si](=O)[O-].[Na+].[Na+]</t>
  </si>
  <si>
    <t>C1=CC(=CC=C1N=NC2C(=NN(C2=O)C3=CC=C(C=C3)S(=O)(=O)[O-])C(=O)[O-])S(=O)(=O)[O-].[Na+].[Na+].[Na+]</t>
  </si>
  <si>
    <t>CCN(CC1=CC(=CC=C1)S(=O)(=O)[O-])C2=CC=C(C=C2)C(=C3C=CC(=[N+](CC)CC4=CC(=CC=C4)S(=O)(=O)[O-])C=C3)C5=CC=CC=C5S(=O)(=O)[O-].[Na+].[Na+]</t>
  </si>
  <si>
    <t>CC[N+](CC)(CC1=CC=CC=C1)CC(=O)NC2=C(C=CC=C2C)C.C1=CC=C(C=C1)C(=O)[O-]</t>
  </si>
  <si>
    <t>C(CCCCC(=O)O)CCCC(=O)O</t>
  </si>
  <si>
    <t>[OH-].[K+]</t>
  </si>
  <si>
    <t>C1=CC=C2C(=C1)NC(=N2)N</t>
  </si>
  <si>
    <t>[OH-].[Na+]</t>
  </si>
  <si>
    <t>NEUTRAGEL Neo -13(25%)</t>
  </si>
  <si>
    <t>NEUTRAGEL Neo -15(30%)</t>
  </si>
  <si>
    <t>NEUTRAGEL Neo -18(33%)</t>
  </si>
  <si>
    <t>NEUTRAGEL Neo -20(35%)</t>
  </si>
  <si>
    <t>NEUTRAGEL Neo -27(40%)</t>
  </si>
  <si>
    <t>NEUTRAGEL Neo -32(45%)</t>
  </si>
  <si>
    <t>NEUTRAGEL Neo -39(50%)</t>
  </si>
  <si>
    <t>kinematic_viscosity_a1</t>
  </si>
  <si>
    <t>kinematic_viscosity_a2</t>
  </si>
  <si>
    <t>kinematic_viscosity_a3</t>
  </si>
  <si>
    <t>FRIOGEL Neo N-20</t>
  </si>
  <si>
    <t>FRIOGEL Neo N-27</t>
  </si>
  <si>
    <t>FRIOGEL Neo N-17</t>
  </si>
  <si>
    <t>FRIOGEL Neo N-15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</si>
</sst>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4" fillId="0" borderId="0" xfId="0" applyFont="1" applyAlignment="1">
      <alignment vertical="center"/>
    </xf>
    <xf numFmtId="0" fontId="0" fillId="0" borderId="13" xfId="0" applyBorder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4" xfId="0" applyFill="1" applyBorder="1"/>
    <xf numFmtId="0" fontId="0" fillId="0" borderId="0" xfId="0" applyFill="1"/>
    <xf numFmtId="0" fontId="0" fillId="0" borderId="22" xfId="0" applyFill="1" applyBorder="1"/>
    <xf numFmtId="0" fontId="0" fillId="0" borderId="13" xfId="0" applyFill="1" applyBorder="1"/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3" xfId="0" applyFont="1" applyBorder="1"/>
    <xf numFmtId="165" fontId="3" fillId="0" borderId="13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0" xfId="0" applyFill="1" applyBorder="1"/>
    <xf numFmtId="1" fontId="3" fillId="0" borderId="0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164" fontId="0" fillId="0" borderId="11" xfId="0" applyNumberForma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164" fontId="0" fillId="3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7" xfId="0" applyNumberFormat="1" applyFont="1" applyBorder="1" applyAlignment="1">
      <alignment horizontal="center"/>
    </xf>
    <xf numFmtId="165" fontId="3" fillId="0" borderId="27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 wrapText="1"/>
    </xf>
    <xf numFmtId="0" fontId="3" fillId="9" borderId="6" xfId="0" applyFont="1" applyFill="1" applyBorder="1" applyAlignment="1">
      <alignment horizontal="center"/>
    </xf>
    <xf numFmtId="0" fontId="3" fillId="9" borderId="8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0" fillId="9" borderId="8" xfId="0" applyFill="1" applyBorder="1" applyAlignment="1">
      <alignment vertical="center" wrapText="1"/>
    </xf>
    <xf numFmtId="0" fontId="0" fillId="0" borderId="37" xfId="0" applyFill="1" applyBorder="1" applyAlignment="1">
      <alignment wrapText="1"/>
    </xf>
    <xf numFmtId="166" fontId="0" fillId="1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3" xfId="0" applyFill="1" applyBorder="1"/>
    <xf numFmtId="0" fontId="0" fillId="0" borderId="0" xfId="0" applyFill="1" applyBorder="1" applyAlignment="1"/>
    <xf numFmtId="0" fontId="8" fillId="0" borderId="38" xfId="0" applyFont="1" applyBorder="1"/>
    <xf numFmtId="0" fontId="1" fillId="0" borderId="32" xfId="0" applyFont="1" applyBorder="1"/>
    <xf numFmtId="0" fontId="0" fillId="0" borderId="27" xfId="0" applyFill="1" applyBorder="1"/>
    <xf numFmtId="0" fontId="0" fillId="0" borderId="5" xfId="0" applyFill="1" applyBorder="1"/>
    <xf numFmtId="0" fontId="0" fillId="0" borderId="11" xfId="0" applyFill="1" applyBorder="1"/>
    <xf numFmtId="0" fontId="1" fillId="7" borderId="31" xfId="0" applyFont="1" applyFill="1" applyBorder="1" applyAlignment="1">
      <alignment horizontal="center" vertical="center" wrapText="1"/>
    </xf>
    <xf numFmtId="164" fontId="0" fillId="3" borderId="25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7" fillId="3" borderId="17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11" fillId="0" borderId="4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0" fillId="0" borderId="4" xfId="0" applyNumberForma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3" xfId="0" applyFont="1" applyFill="1" applyBorder="1"/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13" xfId="0" applyNumberFormat="1" applyFont="1" applyFill="1" applyBorder="1" applyAlignment="1">
      <alignment horizontal="center" vertical="center"/>
    </xf>
    <xf numFmtId="164" fontId="10" fillId="0" borderId="22" xfId="0" applyNumberFormat="1" applyFont="1" applyFill="1" applyBorder="1" applyAlignment="1">
      <alignment horizontal="right"/>
    </xf>
    <xf numFmtId="165" fontId="3" fillId="0" borderId="22" xfId="0" applyNumberFormat="1" applyFont="1" applyFill="1" applyBorder="1" applyAlignment="1">
      <alignment horizontal="center" vertical="center"/>
    </xf>
    <xf numFmtId="165" fontId="3" fillId="0" borderId="2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ont="1" applyBorder="1"/>
    <xf numFmtId="0" fontId="0" fillId="0" borderId="13" xfId="0" applyNumberFormat="1" applyFont="1" applyBorder="1"/>
    <xf numFmtId="0" fontId="3" fillId="9" borderId="10" xfId="0" applyFont="1" applyFill="1" applyBorder="1" applyAlignment="1">
      <alignment horizontal="center"/>
    </xf>
    <xf numFmtId="0" fontId="0" fillId="9" borderId="1" xfId="0" applyFill="1" applyBorder="1"/>
    <xf numFmtId="0" fontId="0" fillId="0" borderId="42" xfId="0" applyFont="1" applyFill="1" applyBorder="1" applyAlignment="1">
      <alignment horizontal="center"/>
    </xf>
    <xf numFmtId="1" fontId="3" fillId="9" borderId="10" xfId="0" applyNumberFormat="1" applyFont="1" applyFill="1" applyBorder="1" applyAlignment="1">
      <alignment horizontal="center" vertical="center"/>
    </xf>
    <xf numFmtId="0" fontId="0" fillId="0" borderId="4" xfId="0" applyNumberFormat="1" applyBorder="1"/>
    <xf numFmtId="0" fontId="0" fillId="0" borderId="13" xfId="0" applyNumberFormat="1" applyBorder="1"/>
    <xf numFmtId="0" fontId="0" fillId="9" borderId="4" xfId="0" applyFill="1" applyBorder="1"/>
    <xf numFmtId="0" fontId="0" fillId="9" borderId="13" xfId="0" applyFill="1" applyBorder="1"/>
    <xf numFmtId="0" fontId="0" fillId="0" borderId="4" xfId="0" applyNumberFormat="1" applyFont="1" applyBorder="1"/>
    <xf numFmtId="0" fontId="0" fillId="0" borderId="14" xfId="0" applyFill="1" applyBorder="1"/>
    <xf numFmtId="0" fontId="0" fillId="8" borderId="8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1" xfId="0" applyFill="1" applyBorder="1" applyAlignment="1">
      <alignment wrapText="1"/>
    </xf>
    <xf numFmtId="11" fontId="0" fillId="8" borderId="1" xfId="0" applyNumberFormat="1" applyFont="1" applyFill="1" applyBorder="1" applyAlignment="1">
      <alignment vertical="center"/>
    </xf>
    <xf numFmtId="0" fontId="0" fillId="8" borderId="13" xfId="0" applyFont="1" applyFill="1" applyBorder="1"/>
    <xf numFmtId="166" fontId="0" fillId="8" borderId="4" xfId="0" applyNumberFormat="1" applyFont="1" applyFill="1" applyBorder="1"/>
    <xf numFmtId="166" fontId="0" fillId="8" borderId="1" xfId="0" applyNumberFormat="1" applyFont="1" applyFill="1" applyBorder="1"/>
    <xf numFmtId="0" fontId="0" fillId="8" borderId="4" xfId="0" applyFill="1" applyBorder="1"/>
    <xf numFmtId="0" fontId="0" fillId="8" borderId="1" xfId="0" applyFill="1" applyBorder="1"/>
    <xf numFmtId="0" fontId="0" fillId="8" borderId="13" xfId="0" applyFill="1" applyBorder="1"/>
    <xf numFmtId="0" fontId="0" fillId="8" borderId="10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0" fontId="3" fillId="0" borderId="1" xfId="0" applyFont="1" applyFill="1" applyBorder="1"/>
    <xf numFmtId="0" fontId="3" fillId="0" borderId="27" xfId="0" applyFont="1" applyFill="1" applyBorder="1"/>
    <xf numFmtId="0" fontId="0" fillId="11" borderId="4" xfId="0" applyFill="1" applyBorder="1"/>
    <xf numFmtId="0" fontId="0" fillId="11" borderId="1" xfId="0" applyFill="1" applyBorder="1"/>
    <xf numFmtId="0" fontId="3" fillId="11" borderId="1" xfId="0" applyFont="1" applyFill="1" applyBorder="1"/>
    <xf numFmtId="0" fontId="0" fillId="11" borderId="13" xfId="0" applyFill="1" applyBorder="1"/>
    <xf numFmtId="0" fontId="0" fillId="11" borderId="5" xfId="0" applyFill="1" applyBorder="1"/>
    <xf numFmtId="0" fontId="0" fillId="11" borderId="33" xfId="0" applyFill="1" applyBorder="1"/>
    <xf numFmtId="0" fontId="3" fillId="11" borderId="33" xfId="0" applyFont="1" applyFill="1" applyBorder="1"/>
    <xf numFmtId="0" fontId="0" fillId="11" borderId="14" xfId="0" applyFill="1" applyBorder="1"/>
    <xf numFmtId="164" fontId="0" fillId="11" borderId="3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26" xfId="0" applyNumberFormat="1" applyFont="1" applyFill="1" applyBorder="1" applyAlignment="1">
      <alignment horizontal="right"/>
    </xf>
    <xf numFmtId="164" fontId="0" fillId="11" borderId="8" xfId="0" applyNumberFormat="1" applyFill="1" applyBorder="1" applyAlignment="1">
      <alignment horizontal="center"/>
    </xf>
    <xf numFmtId="0" fontId="1" fillId="7" borderId="38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right"/>
    </xf>
    <xf numFmtId="164" fontId="10" fillId="0" borderId="4" xfId="0" applyNumberFormat="1" applyFont="1" applyFill="1" applyBorder="1" applyAlignment="1">
      <alignment horizontal="right"/>
    </xf>
    <xf numFmtId="164" fontId="10" fillId="0" borderId="20" xfId="0" applyNumberFormat="1" applyFont="1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3" borderId="1" xfId="0" applyFill="1" applyBorder="1"/>
    <xf numFmtId="0" fontId="0" fillId="3" borderId="27" xfId="0" applyFill="1" applyBorder="1"/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520976</xdr:colOff>
      <xdr:row>1</xdr:row>
      <xdr:rowOff>95664</xdr:rowOff>
    </xdr:from>
    <xdr:ext cx="1998239" cy="190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B96CADC-AD1D-4AD8-A4F6-DE62EFFFBC4A}"/>
                </a:ext>
              </a:extLst>
            </xdr:cNvPr>
            <xdr:cNvSpPr txBox="1"/>
          </xdr:nvSpPr>
          <xdr:spPr>
            <a:xfrm>
              <a:off x="5261064" y="274958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𝒂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e>
                      <m:sup/>
                    </m:sSup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𝒃</m:t>
                    </m:r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0B96CADC-AD1D-4AD8-A4F6-DE62EFFFBC4A}"/>
                </a:ext>
              </a:extLst>
            </xdr:cNvPr>
            <xdr:cNvSpPr txBox="1"/>
          </xdr:nvSpPr>
          <xdr:spPr>
            <a:xfrm>
              <a:off x="5261064" y="274958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latin typeface="Cambria Math" panose="02040503050406030204" pitchFamily="18" charset="0"/>
                </a:rPr>
                <a:t>〖𝒚=𝒂𝟏 𝑻〗^𝟑+𝒂𝟐 𝑻^𝟐+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𝒂𝟑 𝑻^ +𝒃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13</xdr:col>
      <xdr:colOff>498336</xdr:colOff>
      <xdr:row>1</xdr:row>
      <xdr:rowOff>92489</xdr:rowOff>
    </xdr:from>
    <xdr:ext cx="1998239" cy="190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F08FB53-D8B9-4822-B3CF-52DD5810A9BF}"/>
                </a:ext>
              </a:extLst>
            </xdr:cNvPr>
            <xdr:cNvSpPr txBox="1"/>
          </xdr:nvSpPr>
          <xdr:spPr>
            <a:xfrm>
              <a:off x="10112983" y="271783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𝒂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e>
                      <m:sup/>
                    </m:sSup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𝒃</m:t>
                    </m:r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F08FB53-D8B9-4822-B3CF-52DD5810A9BF}"/>
                </a:ext>
              </a:extLst>
            </xdr:cNvPr>
            <xdr:cNvSpPr txBox="1"/>
          </xdr:nvSpPr>
          <xdr:spPr>
            <a:xfrm>
              <a:off x="10112983" y="271783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latin typeface="Cambria Math" panose="02040503050406030204" pitchFamily="18" charset="0"/>
                </a:rPr>
                <a:t>〖𝒚=𝒂𝟏 𝑻〗^𝟑+𝒂𝟐 𝑻^𝟐+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𝒂𝟑 𝑻^ +𝒃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1</xdr:col>
      <xdr:colOff>572368</xdr:colOff>
      <xdr:row>1</xdr:row>
      <xdr:rowOff>101762</xdr:rowOff>
    </xdr:from>
    <xdr:ext cx="1998239" cy="190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603692C-3899-482A-985C-923BCE9CFE05}"/>
                </a:ext>
              </a:extLst>
            </xdr:cNvPr>
            <xdr:cNvSpPr txBox="1"/>
          </xdr:nvSpPr>
          <xdr:spPr>
            <a:xfrm>
              <a:off x="2567015" y="281056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𝒂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𝟐</m:t>
                    </m:r>
                    <m:r>
                      <a:rPr lang="fr-FR" sz="1100" b="1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𝑻</m:t>
                        </m:r>
                      </m:e>
                      <m:sup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fr-FR" sz="11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𝒂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𝟑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p>
                      <m:sSupPr>
                        <m:ctrlP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𝑻</m:t>
                        </m:r>
                      </m:e>
                      <m:sup/>
                    </m:sSup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fr-FR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𝒃</m:t>
                    </m:r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603692C-3899-482A-985C-923BCE9CFE05}"/>
                </a:ext>
              </a:extLst>
            </xdr:cNvPr>
            <xdr:cNvSpPr txBox="1"/>
          </xdr:nvSpPr>
          <xdr:spPr>
            <a:xfrm>
              <a:off x="2567015" y="281056"/>
              <a:ext cx="1998239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latin typeface="Cambria Math" panose="02040503050406030204" pitchFamily="18" charset="0"/>
                </a:rPr>
                <a:t>〖𝒚=𝒂𝟏 𝑻〗^𝟑+𝒂𝟐 𝑻^𝟐+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𝒂𝟑 𝑻^ +𝒃</a:t>
              </a:r>
              <a:endParaRPr lang="fr-FR" sz="1100" b="1"/>
            </a:p>
          </xdr:txBody>
        </xdr:sp>
      </mc:Fallback>
    </mc:AlternateContent>
    <xdr:clientData/>
  </xdr:oneCellAnchor>
  <xdr:oneCellAnchor>
    <xdr:from>
      <xdr:col>9</xdr:col>
      <xdr:colOff>701764</xdr:colOff>
      <xdr:row>1</xdr:row>
      <xdr:rowOff>81283</xdr:rowOff>
    </xdr:from>
    <xdr:ext cx="1682512" cy="213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E37D2FE-61F0-4986-8E29-C783C487EA20}"/>
                </a:ext>
              </a:extLst>
            </xdr:cNvPr>
            <xdr:cNvSpPr txBox="1"/>
          </xdr:nvSpPr>
          <xdr:spPr>
            <a:xfrm>
              <a:off x="8613117" y="268048"/>
              <a:ext cx="1682512" cy="21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fr-FR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fr-FR" sz="11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sSup>
                          <m:sSupPr>
                            <m:ctrlP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</m:t>
                            </m:r>
                          </m:e>
                          <m:sup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𝟑</m:t>
                            </m:r>
                          </m:sup>
                        </m:sSup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</m:t>
                            </m:r>
                          </m:e>
                          <m:sup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p>
                          <m:sSupPr>
                            <m:ctrlP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fr-FR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𝑻</m:t>
                            </m:r>
                          </m:e>
                          <m:sup/>
                        </m:sSup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fr-F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fr-FR" sz="1100" b="1"/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EE37D2FE-61F0-4986-8E29-C783C487EA20}"/>
                </a:ext>
              </a:extLst>
            </xdr:cNvPr>
            <xdr:cNvSpPr txBox="1"/>
          </xdr:nvSpPr>
          <xdr:spPr>
            <a:xfrm>
              <a:off x="8613117" y="268048"/>
              <a:ext cx="1682512" cy="213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1" i="0">
                  <a:latin typeface="Cambria Math" panose="02040503050406030204" pitchFamily="18" charset="0"/>
                </a:rPr>
                <a:t>〖𝒚=𝟏𝟎〗^(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𝒂𝟏 𝑻〗^𝟑+𝒂𝟐 𝑻^𝟐+𝒂𝟑 𝑻^ +𝒃</a:t>
              </a:r>
              <a:r>
                <a:rPr lang="fr-F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fr-F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D8C9-C9D2-489F-818D-9C3119860DE8}">
  <dimension ref="A1:AN102"/>
  <sheetViews>
    <sheetView showGridLines="0" tabSelected="1" zoomScale="96" zoomScaleNormal="96" workbookViewId="0">
      <selection activeCell="M9" sqref="M9"/>
    </sheetView>
  </sheetViews>
  <sheetFormatPr baseColWidth="10" defaultRowHeight="14.5"/>
  <cols>
    <col min="1" max="1" width="33.1796875" customWidth="1"/>
    <col min="2" max="2" width="7.54296875" customWidth="1"/>
    <col min="3" max="3" width="7.36328125" customWidth="1"/>
    <col min="4" max="5" width="7.6328125" customWidth="1"/>
    <col min="6" max="6" width="8.453125" customWidth="1"/>
    <col min="7" max="7" width="10.36328125" customWidth="1"/>
    <col min="8" max="8" width="9.26953125" customWidth="1"/>
    <col min="9" max="10" width="9.54296875" customWidth="1"/>
    <col min="11" max="11" width="10.26953125" customWidth="1"/>
    <col min="12" max="12" width="9.54296875" customWidth="1"/>
    <col min="13" max="13" width="10.453125" customWidth="1"/>
    <col min="14" max="14" width="12.7265625" customWidth="1"/>
    <col min="15" max="15" width="10.90625" customWidth="1"/>
    <col min="16" max="16" width="11.453125" customWidth="1"/>
    <col min="17" max="17" width="12" customWidth="1"/>
    <col min="18" max="18" width="11.7265625" customWidth="1"/>
    <col min="19" max="19" width="11.36328125" customWidth="1"/>
    <col min="20" max="20" width="10.90625" customWidth="1"/>
    <col min="21" max="21" width="10.453125" customWidth="1"/>
    <col min="22" max="23" width="13.6328125" customWidth="1"/>
    <col min="24" max="24" width="8.81640625" customWidth="1"/>
    <col min="25" max="25" width="8.90625" customWidth="1"/>
    <col min="26" max="27" width="9.453125" customWidth="1"/>
    <col min="28" max="28" width="8.81640625" customWidth="1"/>
    <col min="29" max="29" width="9.1796875" customWidth="1"/>
    <col min="30" max="30" width="12.7265625" customWidth="1"/>
    <col min="34" max="34" width="16.81640625" customWidth="1"/>
    <col min="35" max="35" width="14.26953125" customWidth="1"/>
    <col min="36" max="36" width="13.81640625" customWidth="1"/>
  </cols>
  <sheetData>
    <row r="1" spans="1:34" s="3" customFormat="1" ht="29.5" thickBot="1">
      <c r="A1" s="40" t="s">
        <v>89</v>
      </c>
      <c r="B1" s="173" t="s">
        <v>49</v>
      </c>
      <c r="C1" s="41" t="s">
        <v>50</v>
      </c>
      <c r="D1" s="41" t="s">
        <v>51</v>
      </c>
      <c r="E1" s="41" t="s">
        <v>52</v>
      </c>
      <c r="F1" s="41" t="s">
        <v>53</v>
      </c>
      <c r="G1" s="42" t="s">
        <v>55</v>
      </c>
      <c r="H1" s="42" t="s">
        <v>56</v>
      </c>
      <c r="I1" s="42" t="s">
        <v>57</v>
      </c>
      <c r="J1" s="42" t="s">
        <v>58</v>
      </c>
      <c r="K1" s="42" t="s">
        <v>59</v>
      </c>
      <c r="L1" s="42" t="s">
        <v>60</v>
      </c>
      <c r="M1" s="42" t="s">
        <v>61</v>
      </c>
      <c r="N1" s="43" t="s">
        <v>21</v>
      </c>
      <c r="O1" s="44" t="s">
        <v>64</v>
      </c>
      <c r="P1" s="44" t="s">
        <v>65</v>
      </c>
      <c r="Q1" s="44" t="s">
        <v>66</v>
      </c>
      <c r="R1" s="44" t="s">
        <v>67</v>
      </c>
      <c r="S1" s="44" t="s">
        <v>68</v>
      </c>
      <c r="T1" s="44" t="s">
        <v>69</v>
      </c>
      <c r="U1" s="44" t="s">
        <v>63</v>
      </c>
      <c r="V1" s="45" t="s">
        <v>45</v>
      </c>
      <c r="W1" s="45" t="s">
        <v>46</v>
      </c>
      <c r="X1" s="47" t="s">
        <v>11</v>
      </c>
      <c r="Y1" s="47" t="s">
        <v>12</v>
      </c>
      <c r="Z1" s="47" t="s">
        <v>13</v>
      </c>
      <c r="AA1" s="47" t="s">
        <v>14</v>
      </c>
      <c r="AB1" s="47" t="s">
        <v>15</v>
      </c>
      <c r="AC1" s="48" t="s">
        <v>16</v>
      </c>
      <c r="AH1" s="32"/>
    </row>
    <row r="2" spans="1:34">
      <c r="A2" s="165" t="s">
        <v>28</v>
      </c>
      <c r="B2" s="33">
        <f>0.32*$C$55+68</f>
        <v>69.611519999999999</v>
      </c>
      <c r="C2" s="34">
        <f>0.385*$C$55+61.5</f>
        <v>63.438859999999998</v>
      </c>
      <c r="D2" s="34">
        <f>0.435*$C$55+56.5</f>
        <v>58.690660000000001</v>
      </c>
      <c r="E2" s="34">
        <f>0.495*$C$55+50.5</f>
        <v>52.992820000000002</v>
      </c>
      <c r="F2" s="34">
        <f>0.535*$C$55+46.5</f>
        <v>49.19426</v>
      </c>
      <c r="G2" s="35">
        <f>0.28*$A$55+72</f>
        <v>72.549583999999996</v>
      </c>
      <c r="H2" s="35">
        <f>0.33*$A$55+67</f>
        <v>67.647723999999997</v>
      </c>
      <c r="I2" s="35">
        <f>0.353*$A$55+64.7</f>
        <v>65.392868399999998</v>
      </c>
      <c r="J2" s="35">
        <f>0.38*$A$55+62</f>
        <v>62.745863999999997</v>
      </c>
      <c r="K2" s="35">
        <f>0.44*$A$55+56</f>
        <v>56.863632000000003</v>
      </c>
      <c r="L2" s="35">
        <f>0.49*$A$55+51</f>
        <v>51.961772000000003</v>
      </c>
      <c r="M2" s="35">
        <f>0.55*$A$55+45</f>
        <v>46.079540000000001</v>
      </c>
      <c r="N2" s="37">
        <v>57.263933799999997</v>
      </c>
      <c r="O2" s="37">
        <f>0.46*U2+54</f>
        <v>69.609179999999995</v>
      </c>
      <c r="P2" s="37">
        <f>0.58*U2+42</f>
        <v>61.681139999999999</v>
      </c>
      <c r="Q2" s="37">
        <f>0.6*U2+40</f>
        <v>60.3598</v>
      </c>
      <c r="R2" s="37">
        <f>0.688*U2+31.2</f>
        <v>54.545903999999993</v>
      </c>
      <c r="S2" s="37">
        <f>0.827*U2+17.3</f>
        <v>45.362590999999995</v>
      </c>
      <c r="T2" s="37">
        <f>0.856*U2+14.4</f>
        <v>43.446647999999996</v>
      </c>
      <c r="U2" s="36">
        <v>33.933</v>
      </c>
      <c r="V2" s="36">
        <f>0.68781*B55+31.2</f>
        <v>54.5329216821156</v>
      </c>
      <c r="W2" s="36">
        <f>0.75679*B55+24.3</f>
        <v>49.972964626580399</v>
      </c>
      <c r="X2" s="38">
        <v>68.988</v>
      </c>
      <c r="Y2" s="38">
        <v>63</v>
      </c>
      <c r="Z2" s="38">
        <v>58.5</v>
      </c>
      <c r="AA2" s="38">
        <v>52</v>
      </c>
      <c r="AB2" s="38">
        <v>49.2</v>
      </c>
      <c r="AC2" s="39">
        <v>47</v>
      </c>
      <c r="AH2" s="30"/>
    </row>
    <row r="3" spans="1:34">
      <c r="A3" s="166" t="s">
        <v>29</v>
      </c>
      <c r="B3" s="26"/>
      <c r="C3" s="24"/>
      <c r="D3" s="24"/>
      <c r="E3" s="24"/>
      <c r="F3" s="1"/>
      <c r="G3" s="16"/>
      <c r="H3" s="16"/>
      <c r="I3" s="16"/>
      <c r="J3" s="16"/>
      <c r="K3" s="16"/>
      <c r="L3" s="16"/>
      <c r="M3" s="16"/>
      <c r="N3" s="17"/>
      <c r="O3" s="17">
        <f>0.46*U3</f>
        <v>29.891950000000001</v>
      </c>
      <c r="P3" s="17">
        <f>0.58*U3</f>
        <v>37.68985</v>
      </c>
      <c r="Q3" s="17">
        <f>0.6*U3</f>
        <v>38.9895</v>
      </c>
      <c r="R3" s="17">
        <f>0.688*U3</f>
        <v>44.70796</v>
      </c>
      <c r="S3" s="17">
        <f>0.827*U3</f>
        <v>53.740527499999999</v>
      </c>
      <c r="T3" s="17">
        <f>0.856*U3</f>
        <v>55.625019999999999</v>
      </c>
      <c r="U3" s="17">
        <v>64.982500000000002</v>
      </c>
      <c r="V3" s="17">
        <f>0.68781*B56</f>
        <v>44.683098553269005</v>
      </c>
      <c r="W3" s="17">
        <f>0.75679*B56</f>
        <v>49.164336305271</v>
      </c>
      <c r="X3" s="20"/>
      <c r="Y3" s="20"/>
      <c r="Z3" s="20"/>
      <c r="AA3" s="20"/>
      <c r="AB3" s="20"/>
      <c r="AC3" s="21"/>
      <c r="AH3" s="31"/>
    </row>
    <row r="4" spans="1:34">
      <c r="A4" s="166" t="s">
        <v>30</v>
      </c>
      <c r="B4" s="26"/>
      <c r="C4" s="24"/>
      <c r="D4" s="24"/>
      <c r="E4" s="24"/>
      <c r="F4" s="1"/>
      <c r="G4" s="16">
        <f>0.28*A57</f>
        <v>26.254760000000001</v>
      </c>
      <c r="H4" s="16">
        <f>0.33*A57</f>
        <v>30.943110000000001</v>
      </c>
      <c r="I4" s="16">
        <f>0.353*A57</f>
        <v>33.099750999999998</v>
      </c>
      <c r="J4" s="16">
        <f>0.38*A57</f>
        <v>35.631459999999997</v>
      </c>
      <c r="K4" s="16">
        <f>0.44*A57</f>
        <v>41.257480000000001</v>
      </c>
      <c r="L4" s="16">
        <f>0.49*A57</f>
        <v>45.945829999999994</v>
      </c>
      <c r="M4" s="16">
        <f>0.55*A57</f>
        <v>51.571850000000005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20"/>
      <c r="Y4" s="20"/>
      <c r="Z4" s="20"/>
      <c r="AA4" s="20"/>
      <c r="AB4" s="20"/>
      <c r="AC4" s="21"/>
      <c r="AH4" s="31"/>
    </row>
    <row r="5" spans="1:34">
      <c r="A5" s="166" t="s">
        <v>31</v>
      </c>
      <c r="B5" s="26">
        <f xml:space="preserve"> 0.32*$C$58</f>
        <v>28.271360000000001</v>
      </c>
      <c r="C5" s="24">
        <f xml:space="preserve"> 0.385*C58</f>
        <v>34.013980000000004</v>
      </c>
      <c r="D5" s="24">
        <f xml:space="preserve"> 0.435*C58</f>
        <v>38.431379999999997</v>
      </c>
      <c r="E5" s="24">
        <f xml:space="preserve"> 0.495*C58</f>
        <v>43.732259999999997</v>
      </c>
      <c r="F5" s="24">
        <f xml:space="preserve"> 0.535*C58</f>
        <v>47.266180000000006</v>
      </c>
      <c r="G5" s="16"/>
      <c r="H5" s="16"/>
      <c r="I5" s="16"/>
      <c r="J5" s="16"/>
      <c r="K5" s="16"/>
      <c r="L5" s="16"/>
      <c r="M5" s="16"/>
      <c r="N5" s="17">
        <v>39.761798399999996</v>
      </c>
      <c r="O5" s="17"/>
      <c r="P5" s="17"/>
      <c r="Q5" s="17"/>
      <c r="R5" s="17"/>
      <c r="S5" s="17"/>
      <c r="T5" s="17"/>
      <c r="U5" s="17"/>
      <c r="V5" s="17"/>
      <c r="W5" s="17"/>
      <c r="X5" s="20"/>
      <c r="Y5" s="20"/>
      <c r="Z5" s="20"/>
      <c r="AA5" s="20"/>
      <c r="AB5" s="20"/>
      <c r="AC5" s="21"/>
      <c r="AH5" s="31"/>
    </row>
    <row r="6" spans="1:34">
      <c r="A6" s="167" t="s">
        <v>32</v>
      </c>
      <c r="B6" s="26"/>
      <c r="C6" s="24"/>
      <c r="D6" s="24"/>
      <c r="E6" s="24"/>
      <c r="F6" s="24"/>
      <c r="G6" s="16"/>
      <c r="H6" s="16"/>
      <c r="I6" s="16"/>
      <c r="J6" s="16"/>
      <c r="K6" s="16"/>
      <c r="L6" s="16"/>
      <c r="M6" s="16"/>
      <c r="N6" s="17"/>
      <c r="O6" s="17">
        <f>0.46*U6</f>
        <v>0.41400000000000003</v>
      </c>
      <c r="P6" s="17">
        <f>0.58*U6</f>
        <v>0.52200000000000002</v>
      </c>
      <c r="Q6" s="17">
        <f>0.6*U6</f>
        <v>0.54</v>
      </c>
      <c r="R6" s="17">
        <f>0.688*U6</f>
        <v>0.61919999999999997</v>
      </c>
      <c r="S6" s="17">
        <f>0.827*U6</f>
        <v>0.74429999999999996</v>
      </c>
      <c r="T6" s="17">
        <f>0.856*U6</f>
        <v>0.77039999999999997</v>
      </c>
      <c r="U6" s="17">
        <v>0.9</v>
      </c>
      <c r="V6" s="17">
        <f>0.68781*B59</f>
        <v>0.61885567188000012</v>
      </c>
      <c r="W6" s="17">
        <f>0.75679*B59</f>
        <v>0.68092028892000001</v>
      </c>
      <c r="X6" s="20"/>
      <c r="Y6" s="20"/>
      <c r="Z6" s="20"/>
      <c r="AA6" s="20"/>
      <c r="AB6" s="20"/>
      <c r="AC6" s="21"/>
      <c r="AH6" s="31"/>
    </row>
    <row r="7" spans="1:34">
      <c r="A7" s="167" t="s">
        <v>33</v>
      </c>
      <c r="B7" s="26"/>
      <c r="C7" s="24"/>
      <c r="D7" s="24"/>
      <c r="E7" s="24"/>
      <c r="F7" s="24"/>
      <c r="G7" s="16"/>
      <c r="H7" s="16"/>
      <c r="I7" s="16"/>
      <c r="J7" s="16"/>
      <c r="K7" s="16"/>
      <c r="L7" s="16"/>
      <c r="M7" s="16"/>
      <c r="N7" s="17"/>
      <c r="O7" s="17">
        <f>0.46*U7</f>
        <v>5.9800000000000006E-2</v>
      </c>
      <c r="P7" s="17">
        <f>0.58*U7</f>
        <v>7.5399999999999995E-2</v>
      </c>
      <c r="Q7" s="17">
        <f>0.6*U7</f>
        <v>7.8E-2</v>
      </c>
      <c r="R7" s="17">
        <f>0.688*U7</f>
        <v>8.9439999999999992E-2</v>
      </c>
      <c r="S7" s="17">
        <f>0.827*U7</f>
        <v>0.10750999999999999</v>
      </c>
      <c r="T7" s="17">
        <f>0.856*U7</f>
        <v>0.11128</v>
      </c>
      <c r="U7" s="17">
        <v>0.13</v>
      </c>
      <c r="V7" s="17">
        <f>0.68781*B60</f>
        <v>8.9390263716000007E-2</v>
      </c>
      <c r="W7" s="17">
        <f>0.75679*B60</f>
        <v>9.835515284400001E-2</v>
      </c>
      <c r="X7" s="20"/>
      <c r="Y7" s="20"/>
      <c r="Z7" s="20"/>
      <c r="AA7" s="20"/>
      <c r="AB7" s="20"/>
      <c r="AC7" s="21"/>
      <c r="AH7" s="31"/>
    </row>
    <row r="8" spans="1:34">
      <c r="A8" s="167" t="s">
        <v>34</v>
      </c>
      <c r="B8" s="26"/>
      <c r="C8" s="24"/>
      <c r="D8" s="24"/>
      <c r="E8" s="24"/>
      <c r="F8" s="24"/>
      <c r="G8" s="16"/>
      <c r="H8" s="16"/>
      <c r="I8" s="16"/>
      <c r="J8" s="16"/>
      <c r="K8" s="16"/>
      <c r="L8" s="16"/>
      <c r="M8" s="16"/>
      <c r="N8" s="17"/>
      <c r="O8" s="17">
        <f>0.46*U8</f>
        <v>5.9800000000000001E-3</v>
      </c>
      <c r="P8" s="17">
        <f>0.58*U8</f>
        <v>7.539999999999999E-3</v>
      </c>
      <c r="Q8" s="17">
        <f>0.6*U8</f>
        <v>7.7999999999999996E-3</v>
      </c>
      <c r="R8" s="17">
        <f>0.688*U8</f>
        <v>8.9439999999999988E-3</v>
      </c>
      <c r="S8" s="17">
        <f>0.827*U8</f>
        <v>1.0750999999999998E-2</v>
      </c>
      <c r="T8" s="17">
        <f>0.856*U8</f>
        <v>1.1127999999999999E-2</v>
      </c>
      <c r="U8" s="17">
        <v>1.2999999999999999E-2</v>
      </c>
      <c r="V8" s="17">
        <f>0.68781*B61</f>
        <v>8.9390263716E-3</v>
      </c>
      <c r="W8" s="17">
        <f>0.75679*B61</f>
        <v>9.8355152843999996E-3</v>
      </c>
      <c r="X8" s="20"/>
      <c r="Y8" s="20"/>
      <c r="Z8" s="20"/>
      <c r="AA8" s="20"/>
      <c r="AB8" s="20"/>
      <c r="AC8" s="21"/>
      <c r="AH8" s="31"/>
    </row>
    <row r="9" spans="1:34">
      <c r="A9" s="167" t="s">
        <v>22</v>
      </c>
      <c r="B9" s="26"/>
      <c r="C9" s="24"/>
      <c r="D9" s="24"/>
      <c r="E9" s="24"/>
      <c r="F9" s="24"/>
      <c r="G9" s="16"/>
      <c r="H9" s="16"/>
      <c r="I9" s="16"/>
      <c r="J9" s="16"/>
      <c r="K9" s="16"/>
      <c r="L9" s="16"/>
      <c r="M9" s="16"/>
      <c r="N9" s="17"/>
      <c r="O9" s="17">
        <f>0.46*U9</f>
        <v>5.5199999999999997E-4</v>
      </c>
      <c r="P9" s="17">
        <f>0.58*U9</f>
        <v>6.959999999999999E-4</v>
      </c>
      <c r="Q9" s="17">
        <f>0.6*U9</f>
        <v>7.1999999999999994E-4</v>
      </c>
      <c r="R9" s="17">
        <f>0.688*U9</f>
        <v>8.255999999999999E-4</v>
      </c>
      <c r="S9" s="17">
        <f>0.827*U9</f>
        <v>9.9239999999999984E-4</v>
      </c>
      <c r="T9" s="17">
        <f>0.856*U9</f>
        <v>1.0271999999999998E-3</v>
      </c>
      <c r="U9" s="17">
        <v>1.1999999999999999E-3</v>
      </c>
      <c r="V9" s="17">
        <f>0.68781*B62</f>
        <v>8.2514089584000009E-4</v>
      </c>
      <c r="W9" s="17">
        <f>0.75679*B62</f>
        <v>9.0789371856000002E-4</v>
      </c>
      <c r="X9" s="20"/>
      <c r="Y9" s="20"/>
      <c r="Z9" s="20"/>
      <c r="AA9" s="20"/>
      <c r="AB9" s="20"/>
      <c r="AC9" s="21"/>
      <c r="AH9" s="31"/>
    </row>
    <row r="10" spans="1:34">
      <c r="A10" s="167" t="s">
        <v>23</v>
      </c>
      <c r="B10" s="26"/>
      <c r="C10" s="24"/>
      <c r="D10" s="24"/>
      <c r="E10" s="24"/>
      <c r="F10" s="24"/>
      <c r="G10" s="16"/>
      <c r="H10" s="16"/>
      <c r="I10" s="16"/>
      <c r="J10" s="16"/>
      <c r="K10" s="16"/>
      <c r="L10" s="16"/>
      <c r="M10" s="16"/>
      <c r="N10" s="17"/>
      <c r="O10" s="17">
        <f>0.46*U10</f>
        <v>1.3799999999999999E-4</v>
      </c>
      <c r="P10" s="17">
        <f>0.58*U10</f>
        <v>1.7399999999999997E-4</v>
      </c>
      <c r="Q10" s="17">
        <f>0.6*U10</f>
        <v>1.7999999999999998E-4</v>
      </c>
      <c r="R10" s="17">
        <f>0.688*U10</f>
        <v>2.0639999999999998E-4</v>
      </c>
      <c r="S10" s="17">
        <f>0.827*U10</f>
        <v>2.4809999999999996E-4</v>
      </c>
      <c r="T10" s="17">
        <f>0.856*U10</f>
        <v>2.5679999999999995E-4</v>
      </c>
      <c r="U10" s="17">
        <v>2.9999999999999997E-4</v>
      </c>
      <c r="V10" s="17">
        <f>0.68781*B63</f>
        <v>2.0628522396000002E-4</v>
      </c>
      <c r="W10" s="17">
        <f>0.75679*B63</f>
        <v>2.2697342964000001E-4</v>
      </c>
      <c r="X10" s="20"/>
      <c r="Y10" s="20"/>
      <c r="Z10" s="20"/>
      <c r="AA10" s="20"/>
      <c r="AB10" s="20"/>
      <c r="AC10" s="21"/>
      <c r="AH10" s="31"/>
    </row>
    <row r="11" spans="1:34">
      <c r="A11" s="167" t="s">
        <v>35</v>
      </c>
      <c r="B11" s="26"/>
      <c r="C11" s="24"/>
      <c r="D11" s="24"/>
      <c r="E11" s="24"/>
      <c r="F11" s="24"/>
      <c r="G11" s="16"/>
      <c r="H11" s="16"/>
      <c r="I11" s="16"/>
      <c r="J11" s="16"/>
      <c r="K11" s="16"/>
      <c r="L11" s="16"/>
      <c r="M11" s="16"/>
      <c r="N11" s="17"/>
      <c r="O11" s="17"/>
      <c r="P11" s="17"/>
      <c r="Q11" s="17"/>
      <c r="R11" s="17"/>
      <c r="S11" s="17"/>
      <c r="T11" s="17"/>
      <c r="U11" s="17"/>
      <c r="V11" s="17">
        <f>0.68781*B64 + 0.019</f>
        <v>3.8258680000000003E-2</v>
      </c>
      <c r="W11" s="17">
        <f>0.75679*B64+0.021</f>
        <v>4.2190119999999998E-2</v>
      </c>
      <c r="X11" s="19">
        <v>1.2E-2</v>
      </c>
      <c r="Y11" s="19">
        <v>1.4999999999999999E-2</v>
      </c>
      <c r="Z11" s="19">
        <v>1.6E-2</v>
      </c>
      <c r="AA11" s="19">
        <v>1.9E-2</v>
      </c>
      <c r="AB11" s="19">
        <v>0.02</v>
      </c>
      <c r="AC11" s="22">
        <v>2.1999999999999999E-2</v>
      </c>
      <c r="AH11" s="31"/>
    </row>
    <row r="12" spans="1:34">
      <c r="A12" s="167" t="s">
        <v>36</v>
      </c>
      <c r="B12" s="26"/>
      <c r="C12" s="24"/>
      <c r="D12" s="24"/>
      <c r="E12" s="24"/>
      <c r="F12" s="24"/>
      <c r="G12" s="16">
        <f>0.28*A65</f>
        <v>7.7840000000000001E-3</v>
      </c>
      <c r="H12" s="16">
        <f>0.33*A65</f>
        <v>9.1739999999999999E-3</v>
      </c>
      <c r="I12" s="16">
        <f>0.353*A65</f>
        <v>9.8133999999999982E-3</v>
      </c>
      <c r="J12" s="16">
        <f>0.38*A65</f>
        <v>1.0563999999999999E-2</v>
      </c>
      <c r="K12" s="16">
        <f>0.44*A65</f>
        <v>1.2232E-2</v>
      </c>
      <c r="L12" s="16">
        <f>0.49*A65</f>
        <v>1.3621999999999999E-2</v>
      </c>
      <c r="M12" s="16">
        <f>0.55*A65</f>
        <v>1.529E-2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20"/>
      <c r="Y12" s="20"/>
      <c r="Z12" s="20"/>
      <c r="AA12" s="20"/>
      <c r="AB12" s="20"/>
      <c r="AC12" s="21"/>
      <c r="AH12" s="31"/>
    </row>
    <row r="13" spans="1:34">
      <c r="A13" s="167" t="s">
        <v>37</v>
      </c>
      <c r="B13" s="26">
        <f xml:space="preserve"> 0.32*C66</f>
        <v>0.96</v>
      </c>
      <c r="C13" s="24">
        <f xml:space="preserve"> 0.385*C66</f>
        <v>1.155</v>
      </c>
      <c r="D13" s="24">
        <f xml:space="preserve"> 0.435*C66</f>
        <v>1.3049999999999999</v>
      </c>
      <c r="E13" s="24">
        <f xml:space="preserve"> 0.495*C66</f>
        <v>1.4849999999999999</v>
      </c>
      <c r="F13" s="24">
        <f xml:space="preserve"> 0.535*C66</f>
        <v>1.605</v>
      </c>
      <c r="G13" s="16">
        <f>0.28*A66</f>
        <v>0.48958000000000002</v>
      </c>
      <c r="H13" s="16">
        <f>0.33*A66</f>
        <v>0.57700499999999999</v>
      </c>
      <c r="I13" s="16">
        <f>0.353*A66</f>
        <v>0.61722049999999995</v>
      </c>
      <c r="J13" s="16">
        <f>0.38*A66</f>
        <v>0.66442999999999997</v>
      </c>
      <c r="K13" s="16">
        <f>0.44*A66</f>
        <v>0.76934000000000002</v>
      </c>
      <c r="L13" s="16">
        <f>0.49*A66</f>
        <v>0.856765</v>
      </c>
      <c r="M13" s="16">
        <f>0.55*A66</f>
        <v>0.96167500000000006</v>
      </c>
      <c r="N13" s="17">
        <v>1.3486500000000001</v>
      </c>
      <c r="O13" s="17"/>
      <c r="P13" s="17"/>
      <c r="Q13" s="17"/>
      <c r="R13" s="17"/>
      <c r="S13" s="17"/>
      <c r="T13" s="17"/>
      <c r="U13" s="17"/>
      <c r="V13" s="17"/>
      <c r="W13" s="17"/>
      <c r="X13" s="20"/>
      <c r="Y13" s="20"/>
      <c r="Z13" s="20"/>
      <c r="AA13" s="20"/>
      <c r="AB13" s="20"/>
      <c r="AC13" s="21"/>
      <c r="AH13" s="31"/>
    </row>
    <row r="14" spans="1:34">
      <c r="A14" s="167" t="s">
        <v>38</v>
      </c>
      <c r="B14" s="26">
        <f xml:space="preserve"> 0.32*C67</f>
        <v>1.06464</v>
      </c>
      <c r="C14" s="24">
        <f xml:space="preserve"> 0.385*C67</f>
        <v>1.2808950000000001</v>
      </c>
      <c r="D14" s="24">
        <f xml:space="preserve"> 0.435*C67</f>
        <v>1.4472449999999999</v>
      </c>
      <c r="E14" s="24">
        <f xml:space="preserve"> 0.495*C67</f>
        <v>1.646865</v>
      </c>
      <c r="F14" s="24">
        <f xml:space="preserve"> 0.535*C67</f>
        <v>1.7799450000000001</v>
      </c>
      <c r="G14" s="16"/>
      <c r="H14" s="16"/>
      <c r="I14" s="16"/>
      <c r="J14" s="16"/>
      <c r="K14" s="16"/>
      <c r="L14" s="16"/>
      <c r="M14" s="16"/>
      <c r="N14" s="17">
        <v>1.4956528499999999</v>
      </c>
      <c r="O14" s="17"/>
      <c r="P14" s="17"/>
      <c r="Q14" s="17"/>
      <c r="R14" s="17"/>
      <c r="S14" s="17"/>
      <c r="T14" s="17"/>
      <c r="U14" s="17"/>
      <c r="V14" s="17"/>
      <c r="W14" s="17"/>
      <c r="X14" s="20"/>
      <c r="Y14" s="20"/>
      <c r="Z14" s="20"/>
      <c r="AA14" s="20"/>
      <c r="AB14" s="20"/>
      <c r="AC14" s="21"/>
      <c r="AH14" s="31"/>
    </row>
    <row r="15" spans="1:34">
      <c r="A15" s="167" t="s">
        <v>39</v>
      </c>
      <c r="B15" s="26">
        <f xml:space="preserve"> 0.32*C68</f>
        <v>5.1200000000000002E-2</v>
      </c>
      <c r="C15" s="24">
        <f xml:space="preserve"> 0.385*C68</f>
        <v>6.1600000000000002E-2</v>
      </c>
      <c r="D15" s="24">
        <f xml:space="preserve"> 0.435*C68</f>
        <v>6.9599999999999995E-2</v>
      </c>
      <c r="E15" s="24">
        <f xml:space="preserve"> 0.495*C68</f>
        <v>7.9200000000000007E-2</v>
      </c>
      <c r="F15" s="24">
        <f xml:space="preserve"> 0.535*C68</f>
        <v>8.5600000000000009E-2</v>
      </c>
      <c r="G15" s="16">
        <f>0.28*A68</f>
        <v>4.1244000000000003E-2</v>
      </c>
      <c r="H15" s="16">
        <f>0.33*A68</f>
        <v>4.8608999999999999E-2</v>
      </c>
      <c r="I15" s="16">
        <f>0.353*A68</f>
        <v>5.1996899999999992E-2</v>
      </c>
      <c r="J15" s="16">
        <f>0.38*A68</f>
        <v>5.5973999999999996E-2</v>
      </c>
      <c r="K15" s="16">
        <f>0.44*A68</f>
        <v>6.4811999999999995E-2</v>
      </c>
      <c r="L15" s="16">
        <f>0.49*A68</f>
        <v>7.2176999999999991E-2</v>
      </c>
      <c r="M15" s="16">
        <f>0.55*A68</f>
        <v>8.1015000000000004E-2</v>
      </c>
      <c r="N15" s="17">
        <v>7.1923199999999993E-2</v>
      </c>
      <c r="O15" s="17"/>
      <c r="P15" s="17"/>
      <c r="Q15" s="17"/>
      <c r="R15" s="17"/>
      <c r="S15" s="17"/>
      <c r="T15" s="17"/>
      <c r="U15" s="17"/>
      <c r="V15" s="17"/>
      <c r="W15" s="17"/>
      <c r="X15" s="20"/>
      <c r="Y15" s="20"/>
      <c r="Z15" s="20"/>
      <c r="AA15" s="20"/>
      <c r="AB15" s="20"/>
      <c r="AC15" s="21"/>
      <c r="AH15" s="31"/>
    </row>
    <row r="16" spans="1:34" s="13" customFormat="1">
      <c r="A16" s="168" t="s">
        <v>40</v>
      </c>
      <c r="B16" s="174">
        <f xml:space="preserve"> 0.32*C69</f>
        <v>1.2800000000000001E-3</v>
      </c>
      <c r="C16" s="113">
        <f xml:space="preserve"> 0.385*C69</f>
        <v>1.5400000000000001E-3</v>
      </c>
      <c r="D16" s="113">
        <f xml:space="preserve"> 0.435*C69</f>
        <v>1.74E-3</v>
      </c>
      <c r="E16" s="113">
        <f xml:space="preserve"> 0.495*C69</f>
        <v>1.98E-3</v>
      </c>
      <c r="F16" s="113">
        <f xml:space="preserve"> 0.535*C69</f>
        <v>2.14E-3</v>
      </c>
      <c r="G16" s="18">
        <f>0.28*A69</f>
        <v>8.4000000000000014E-4</v>
      </c>
      <c r="H16" s="18">
        <f>0.33*A69</f>
        <v>9.8999999999999999E-4</v>
      </c>
      <c r="I16" s="18">
        <f>0.353*A69</f>
        <v>1.059E-3</v>
      </c>
      <c r="J16" s="18">
        <f>0.38*A69</f>
        <v>1.14E-3</v>
      </c>
      <c r="K16" s="18">
        <f>0.44*A69</f>
        <v>1.32E-3</v>
      </c>
      <c r="L16" s="18">
        <f>0.49*A69</f>
        <v>1.47E-3</v>
      </c>
      <c r="M16" s="18">
        <f>0.55*A69</f>
        <v>1.6500000000000002E-3</v>
      </c>
      <c r="N16" s="18">
        <v>1.7982E-3</v>
      </c>
      <c r="O16" s="18"/>
      <c r="P16" s="18"/>
      <c r="Q16" s="18"/>
      <c r="R16" s="18"/>
      <c r="S16" s="18"/>
      <c r="T16" s="18"/>
      <c r="U16" s="18"/>
      <c r="V16" s="18"/>
      <c r="W16" s="18"/>
      <c r="X16" s="114"/>
      <c r="Y16" s="114"/>
      <c r="Z16" s="114"/>
      <c r="AA16" s="114"/>
      <c r="AB16" s="114"/>
      <c r="AC16" s="115"/>
      <c r="AH16" s="31"/>
    </row>
    <row r="17" spans="1:40" s="13" customFormat="1">
      <c r="A17" s="169" t="s">
        <v>24</v>
      </c>
      <c r="B17" s="174"/>
      <c r="C17" s="113"/>
      <c r="D17" s="113"/>
      <c r="E17" s="113"/>
      <c r="F17" s="113"/>
      <c r="G17" s="18"/>
      <c r="H17" s="18"/>
      <c r="I17" s="18"/>
      <c r="J17" s="18"/>
      <c r="K17" s="18"/>
      <c r="L17" s="18"/>
      <c r="M17" s="18"/>
      <c r="N17" s="18"/>
      <c r="O17" s="18">
        <f>0.46*U17</f>
        <v>1.84E-2</v>
      </c>
      <c r="P17" s="18">
        <f>0.58*U17</f>
        <v>2.3199999999999998E-2</v>
      </c>
      <c r="Q17" s="18">
        <f>0.6*U17</f>
        <v>2.4E-2</v>
      </c>
      <c r="R17" s="18">
        <f>0.688*U17</f>
        <v>2.7519999999999999E-2</v>
      </c>
      <c r="S17" s="18">
        <f>0.827*U17</f>
        <v>3.3079999999999998E-2</v>
      </c>
      <c r="T17" s="18">
        <f>0.856*U17</f>
        <v>3.424E-2</v>
      </c>
      <c r="U17" s="116">
        <v>0.04</v>
      </c>
      <c r="V17" s="18">
        <f>0.68781*B70</f>
        <v>2.7504696528000003E-2</v>
      </c>
      <c r="W17" s="18">
        <f>0.75679*B70</f>
        <v>3.0263123952000003E-2</v>
      </c>
      <c r="X17" s="114"/>
      <c r="Y17" s="114"/>
      <c r="Z17" s="114"/>
      <c r="AA17" s="114"/>
      <c r="AB17" s="114"/>
      <c r="AC17" s="115"/>
      <c r="AH17" s="31"/>
    </row>
    <row r="18" spans="1:40" s="13" customFormat="1">
      <c r="A18" s="168" t="s">
        <v>25</v>
      </c>
      <c r="B18" s="174">
        <f xml:space="preserve"> 0.32*C71</f>
        <v>8.0000000000000002E-3</v>
      </c>
      <c r="C18" s="113">
        <f xml:space="preserve"> 0.385*C71</f>
        <v>9.6250000000000016E-3</v>
      </c>
      <c r="D18" s="113">
        <f xml:space="preserve"> 0.435*C71</f>
        <v>1.0875000000000001E-2</v>
      </c>
      <c r="E18" s="113">
        <f xml:space="preserve"> 0.495*C71</f>
        <v>1.2375000000000001E-2</v>
      </c>
      <c r="F18" s="113">
        <f xml:space="preserve"> 0.535*C71</f>
        <v>1.3375000000000001E-2</v>
      </c>
      <c r="G18" s="18"/>
      <c r="H18" s="18"/>
      <c r="I18" s="18"/>
      <c r="J18" s="18"/>
      <c r="K18" s="18"/>
      <c r="L18" s="18"/>
      <c r="M18" s="18"/>
      <c r="N18" s="18">
        <v>1.123875E-2</v>
      </c>
      <c r="O18" s="18"/>
      <c r="P18" s="18"/>
      <c r="Q18" s="18"/>
      <c r="R18" s="18"/>
      <c r="S18" s="18"/>
      <c r="T18" s="18"/>
      <c r="U18" s="18"/>
      <c r="V18" s="18"/>
      <c r="W18" s="18"/>
      <c r="X18" s="114"/>
      <c r="Y18" s="114"/>
      <c r="Z18" s="114"/>
      <c r="AA18" s="114"/>
      <c r="AB18" s="114"/>
      <c r="AC18" s="115"/>
      <c r="AH18" s="31"/>
    </row>
    <row r="19" spans="1:40" s="13" customFormat="1">
      <c r="A19" s="168" t="s">
        <v>26</v>
      </c>
      <c r="B19" s="174">
        <f xml:space="preserve"> 0.32*C72</f>
        <v>3.2000000000000001E-2</v>
      </c>
      <c r="C19" s="113">
        <f xml:space="preserve"> 0.385*C72</f>
        <v>3.8500000000000006E-2</v>
      </c>
      <c r="D19" s="113">
        <f xml:space="preserve"> 0.435*C72</f>
        <v>4.3500000000000004E-2</v>
      </c>
      <c r="E19" s="113">
        <f xml:space="preserve"> 0.495*C72</f>
        <v>4.9500000000000002E-2</v>
      </c>
      <c r="F19" s="113">
        <f xml:space="preserve"> 0.535*C72</f>
        <v>5.3500000000000006E-2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14"/>
      <c r="Y19" s="114"/>
      <c r="Z19" s="114"/>
      <c r="AA19" s="114"/>
      <c r="AB19" s="114"/>
      <c r="AC19" s="115"/>
      <c r="AH19" s="31"/>
    </row>
    <row r="20" spans="1:40">
      <c r="A20" s="167" t="s">
        <v>41</v>
      </c>
      <c r="B20" s="27"/>
      <c r="C20" s="23"/>
      <c r="D20" s="23"/>
      <c r="E20" s="23"/>
      <c r="F20" s="1"/>
      <c r="G20" s="16">
        <f>0.28*A73</f>
        <v>0.62526800000000005</v>
      </c>
      <c r="H20" s="16">
        <f>0.33*A73</f>
        <v>0.73692299999999999</v>
      </c>
      <c r="I20" s="16">
        <f>0.353*A73</f>
        <v>0.78828429999999994</v>
      </c>
      <c r="J20" s="16">
        <f>0.38*A73</f>
        <v>0.84857799999999994</v>
      </c>
      <c r="K20" s="16">
        <f>0.44*A73</f>
        <v>0.98256399999999999</v>
      </c>
      <c r="L20" s="16">
        <f>0.49*A73</f>
        <v>1.0942189999999998</v>
      </c>
      <c r="M20" s="16">
        <f>0.55*A73</f>
        <v>1.228205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20"/>
      <c r="Y20" s="20"/>
      <c r="Z20" s="20"/>
      <c r="AA20" s="20"/>
      <c r="AB20" s="20"/>
      <c r="AC20" s="21"/>
      <c r="AH20" s="31"/>
    </row>
    <row r="21" spans="1:40" s="13" customFormat="1">
      <c r="A21" s="168" t="s">
        <v>42</v>
      </c>
      <c r="B21" s="112"/>
      <c r="C21" s="117"/>
      <c r="D21" s="117"/>
      <c r="E21" s="117"/>
      <c r="F21" s="11"/>
      <c r="G21" s="18">
        <f>0.28*A74</f>
        <v>3.0940000000000002E-2</v>
      </c>
      <c r="H21" s="18">
        <f>0.33*A74</f>
        <v>3.6465000000000004E-2</v>
      </c>
      <c r="I21" s="18">
        <f>0.353*A74</f>
        <v>3.90065E-2</v>
      </c>
      <c r="J21" s="18">
        <f>0.38*A74</f>
        <v>4.199E-2</v>
      </c>
      <c r="K21" s="18">
        <f>0.44*A74</f>
        <v>4.8620000000000003E-2</v>
      </c>
      <c r="L21" s="18">
        <f>0.49*A74</f>
        <v>5.4144999999999999E-2</v>
      </c>
      <c r="M21" s="18">
        <f>0.55*A74</f>
        <v>6.0775000000000003E-2</v>
      </c>
      <c r="N21" s="118">
        <v>4.4999999999999998E-2</v>
      </c>
      <c r="O21" s="18"/>
      <c r="P21" s="18"/>
      <c r="Q21" s="18"/>
      <c r="R21" s="18"/>
      <c r="S21" s="18"/>
      <c r="T21" s="18"/>
      <c r="U21" s="18"/>
      <c r="V21" s="18"/>
      <c r="W21" s="18"/>
      <c r="X21" s="114"/>
      <c r="Y21" s="114"/>
      <c r="Z21" s="114"/>
      <c r="AA21" s="114"/>
      <c r="AB21" s="114"/>
      <c r="AC21" s="115"/>
      <c r="AH21" s="31"/>
    </row>
    <row r="22" spans="1:40" s="13" customFormat="1">
      <c r="A22" s="168" t="s">
        <v>27</v>
      </c>
      <c r="B22" s="112"/>
      <c r="C22" s="117"/>
      <c r="D22" s="117"/>
      <c r="E22" s="117"/>
      <c r="F22" s="1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14"/>
      <c r="Y22" s="114"/>
      <c r="Z22" s="114"/>
      <c r="AA22" s="114"/>
      <c r="AB22" s="114"/>
      <c r="AC22" s="115"/>
      <c r="AH22" s="31"/>
    </row>
    <row r="23" spans="1:40" s="13" customFormat="1">
      <c r="A23" s="170" t="s">
        <v>44</v>
      </c>
      <c r="B23" s="175"/>
      <c r="C23" s="119"/>
      <c r="D23" s="119"/>
      <c r="E23" s="119"/>
      <c r="F23" s="1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20">
        <v>1</v>
      </c>
      <c r="Y23" s="120">
        <v>1</v>
      </c>
      <c r="Z23" s="120">
        <v>1</v>
      </c>
      <c r="AA23" s="120">
        <v>1</v>
      </c>
      <c r="AB23" s="120">
        <v>1</v>
      </c>
      <c r="AC23" s="121">
        <v>1</v>
      </c>
      <c r="AH23" s="30"/>
    </row>
    <row r="24" spans="1:40" s="13" customFormat="1">
      <c r="A24" s="171" t="s">
        <v>43</v>
      </c>
      <c r="B24" s="176"/>
      <c r="C24" s="122"/>
      <c r="D24" s="122"/>
      <c r="E24" s="122"/>
      <c r="F24" s="1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123">
        <v>30</v>
      </c>
      <c r="Y24" s="123">
        <v>35.984999999999999</v>
      </c>
      <c r="Z24" s="123">
        <v>40.484000000000002</v>
      </c>
      <c r="AA24" s="123">
        <v>46.981000000000002</v>
      </c>
      <c r="AB24" s="123">
        <v>49.78</v>
      </c>
      <c r="AC24" s="124">
        <v>51.978000000000002</v>
      </c>
      <c r="AH24" s="30"/>
    </row>
    <row r="25" spans="1:40">
      <c r="A25" s="65" t="s">
        <v>102</v>
      </c>
      <c r="B25" s="156">
        <v>1.968401968402486E-8</v>
      </c>
      <c r="C25" s="157">
        <v>1.9295519295522869E-8</v>
      </c>
      <c r="D25" s="157">
        <v>2.185314685314616E-8</v>
      </c>
      <c r="E25" s="157">
        <v>2.360139860139849E-8</v>
      </c>
      <c r="F25" s="157">
        <v>2.4595502536678739E-8</v>
      </c>
      <c r="G25" s="158">
        <v>2.7583527583531601E-8</v>
      </c>
      <c r="H25" s="158">
        <v>2.9914529914531658E-8</v>
      </c>
      <c r="I25" s="158">
        <v>3.1080031080033481E-8</v>
      </c>
      <c r="J25" s="158">
        <v>3.2634032634033142E-8</v>
      </c>
      <c r="K25" s="158">
        <v>4.0792540792543529E-8</v>
      </c>
      <c r="L25" s="158">
        <v>3.6519036519039849E-8</v>
      </c>
      <c r="M25" s="158">
        <v>3.4835534835537961E-8</v>
      </c>
      <c r="N25" s="157">
        <v>2.1822241268421379E-8</v>
      </c>
      <c r="O25" s="157">
        <v>3.4098311309264959E-9</v>
      </c>
      <c r="P25" s="157">
        <v>3.889197471932824E-9</v>
      </c>
      <c r="Q25" s="157">
        <v>4.1043368494163064E-9</v>
      </c>
      <c r="R25" s="157">
        <v>4.0788514552714784E-9</v>
      </c>
      <c r="S25" s="157">
        <v>3.7889951280775583E-9</v>
      </c>
      <c r="T25" s="157">
        <v>3.2657134790168988E-9</v>
      </c>
      <c r="U25" s="157">
        <v>2.49269830979649E-9</v>
      </c>
      <c r="V25" s="157">
        <v>-7.3983987027464613E-9</v>
      </c>
      <c r="W25" s="157">
        <v>-7.3864322201437401E-9</v>
      </c>
      <c r="X25" s="157">
        <v>9.3578476369957959E-23</v>
      </c>
      <c r="Y25" s="157">
        <v>2.6146443591820278E-22</v>
      </c>
      <c r="Z25" s="157">
        <v>2.4880956230920019E-22</v>
      </c>
      <c r="AA25" s="157">
        <v>3.3772935979610611E-22</v>
      </c>
      <c r="AB25" s="157">
        <v>2.0187641180909039E-23</v>
      </c>
      <c r="AC25" s="159">
        <v>3.8958654249472019E-22</v>
      </c>
      <c r="AH25" s="28"/>
      <c r="AL25" s="28"/>
      <c r="AM25" s="28"/>
      <c r="AN25" s="28"/>
    </row>
    <row r="26" spans="1:40">
      <c r="A26" s="65" t="s">
        <v>103</v>
      </c>
      <c r="B26" s="156">
        <v>-2.477522477523015E-6</v>
      </c>
      <c r="C26" s="157">
        <v>-1.768231768232106E-6</v>
      </c>
      <c r="D26" s="157">
        <v>-1.788211788211728E-6</v>
      </c>
      <c r="E26" s="157">
        <v>-1.748251748251772E-6</v>
      </c>
      <c r="F26" s="157">
        <v>-1.7377475465710131E-6</v>
      </c>
      <c r="G26" s="158">
        <v>-4.0209790209793707E-6</v>
      </c>
      <c r="H26" s="158">
        <v>-3.636363636363778E-6</v>
      </c>
      <c r="I26" s="158">
        <v>-3.316683316683506E-6</v>
      </c>
      <c r="J26" s="158">
        <v>-3.3466533466533758E-6</v>
      </c>
      <c r="K26" s="158">
        <v>-3.7712287712290621E-6</v>
      </c>
      <c r="L26" s="158">
        <v>-2.9270729270732591E-6</v>
      </c>
      <c r="M26" s="158">
        <v>-2.54245754245781E-6</v>
      </c>
      <c r="N26" s="157">
        <v>-1.607337719415368E-6</v>
      </c>
      <c r="O26" s="157">
        <v>-5.5757685116025308E-6</v>
      </c>
      <c r="P26" s="157">
        <v>-5.2737102075178983E-6</v>
      </c>
      <c r="Q26" s="157">
        <v>-4.9677926732114094E-6</v>
      </c>
      <c r="R26" s="157">
        <v>-4.6640257545009291E-6</v>
      </c>
      <c r="S26" s="157">
        <v>-4.3529356542488382E-6</v>
      </c>
      <c r="T26" s="157">
        <v>-4.0426473529971321E-6</v>
      </c>
      <c r="U26" s="157">
        <v>-3.7268507171732912E-6</v>
      </c>
      <c r="V26" s="157">
        <v>-2.1495243886548199E-6</v>
      </c>
      <c r="W26" s="157">
        <v>-1.859251644430163E-6</v>
      </c>
      <c r="X26" s="157">
        <v>3.4724193040791999E-20</v>
      </c>
      <c r="Y26" s="157">
        <v>3.8582436711991123E-21</v>
      </c>
      <c r="Z26" s="157">
        <v>-1.9291218355995559E-20</v>
      </c>
      <c r="AA26" s="157">
        <v>-3.0865949369592892E-20</v>
      </c>
      <c r="AB26" s="157">
        <v>2.8936827533993327E-20</v>
      </c>
      <c r="AC26" s="159">
        <v>-2.8936827533993327E-20</v>
      </c>
      <c r="AH26" s="6"/>
      <c r="AL26" s="28"/>
      <c r="AM26" s="28"/>
      <c r="AN26" s="28"/>
    </row>
    <row r="27" spans="1:40">
      <c r="A27" s="65" t="s">
        <v>104</v>
      </c>
      <c r="B27" s="156">
        <v>5.0772190772190972E-4</v>
      </c>
      <c r="C27" s="157">
        <v>2.5021830021830082E-4</v>
      </c>
      <c r="D27" s="157">
        <v>1.082542457542454E-4</v>
      </c>
      <c r="E27" s="157">
        <v>-5.715534465534716E-5</v>
      </c>
      <c r="F27" s="157">
        <v>-2.0832794656324129E-4</v>
      </c>
      <c r="G27" s="158">
        <v>5.4794094794094342E-4</v>
      </c>
      <c r="H27" s="158">
        <v>3.2777777777777352E-4</v>
      </c>
      <c r="I27" s="158">
        <v>1.9888999888999291E-4</v>
      </c>
      <c r="J27" s="158">
        <v>1.231102231102197E-4</v>
      </c>
      <c r="K27" s="158">
        <v>-4.8584748584747461E-5</v>
      </c>
      <c r="L27" s="158">
        <v>-2.1364191364191089E-4</v>
      </c>
      <c r="M27" s="158">
        <v>-3.5228475228475599E-4</v>
      </c>
      <c r="N27" s="157">
        <v>-2.8144299618485621E-5</v>
      </c>
      <c r="O27" s="157">
        <v>1.317185832869217E-3</v>
      </c>
      <c r="P27" s="157">
        <v>1.136834454303217E-3</v>
      </c>
      <c r="Q27" s="157">
        <v>9.7185660120149299E-4</v>
      </c>
      <c r="R27" s="157">
        <v>8.2247523991891593E-4</v>
      </c>
      <c r="S27" s="157">
        <v>6.875149827705562E-4</v>
      </c>
      <c r="T27" s="157">
        <v>5.6734517249616711E-4</v>
      </c>
      <c r="U27" s="157">
        <v>4.6119726482253998E-4</v>
      </c>
      <c r="V27" s="157">
        <v>9.7168433016259074E-4</v>
      </c>
      <c r="W27" s="157">
        <v>8.8859549766661901E-4</v>
      </c>
      <c r="X27" s="157">
        <v>3.9999999999999991E-4</v>
      </c>
      <c r="Y27" s="157">
        <v>4.0000000000000018E-4</v>
      </c>
      <c r="Z27" s="157">
        <v>4.0000000000000051E-4</v>
      </c>
      <c r="AA27" s="157">
        <v>3.0000000000000127E-4</v>
      </c>
      <c r="AB27" s="157">
        <v>2.9999999999999938E-4</v>
      </c>
      <c r="AC27" s="159">
        <v>2.9999999999999981E-4</v>
      </c>
      <c r="AH27" s="6"/>
      <c r="AL27" s="28"/>
      <c r="AM27" s="28"/>
      <c r="AN27" s="28"/>
    </row>
    <row r="28" spans="1:40">
      <c r="A28" s="65" t="s">
        <v>90</v>
      </c>
      <c r="B28" s="156">
        <v>0.45116150516150533</v>
      </c>
      <c r="C28" s="157">
        <v>0.43048218448218439</v>
      </c>
      <c r="D28" s="157">
        <v>0.41711838161838161</v>
      </c>
      <c r="E28" s="157">
        <v>0.40074775224775239</v>
      </c>
      <c r="F28" s="157">
        <v>0.38577863313157418</v>
      </c>
      <c r="G28" s="158">
        <v>0.49190909090909102</v>
      </c>
      <c r="H28" s="158">
        <v>0.47582517482517478</v>
      </c>
      <c r="I28" s="158">
        <v>0.46621978021978028</v>
      </c>
      <c r="J28" s="158">
        <v>0.46033466533466538</v>
      </c>
      <c r="K28" s="158">
        <v>0.44595404595404597</v>
      </c>
      <c r="L28" s="158">
        <v>0.43215984015983988</v>
      </c>
      <c r="M28" s="158">
        <v>0.41983583083583093</v>
      </c>
      <c r="N28" s="157">
        <v>0.40412230888877249</v>
      </c>
      <c r="O28" s="157">
        <v>0.44306303577702227</v>
      </c>
      <c r="P28" s="157">
        <v>0.41830477149830853</v>
      </c>
      <c r="Q28" s="157">
        <v>0.39476087885876648</v>
      </c>
      <c r="R28" s="157">
        <v>0.37239724277013903</v>
      </c>
      <c r="S28" s="157">
        <v>0.35120927542435532</v>
      </c>
      <c r="T28" s="157">
        <v>0.33116400837706828</v>
      </c>
      <c r="U28" s="157">
        <v>0.31224407094622181</v>
      </c>
      <c r="V28" s="157">
        <v>0.41242628241323909</v>
      </c>
      <c r="W28" s="157">
        <v>0.39746161905575528</v>
      </c>
      <c r="X28" s="157">
        <v>0.44299999999999978</v>
      </c>
      <c r="Y28" s="157">
        <v>0.40779999999999988</v>
      </c>
      <c r="Z28" s="157">
        <v>0.39029999999999998</v>
      </c>
      <c r="AA28" s="157">
        <v>0.3639</v>
      </c>
      <c r="AB28" s="157">
        <v>0.35510000000000008</v>
      </c>
      <c r="AC28" s="159">
        <v>0.34200000000000008</v>
      </c>
      <c r="AH28" s="6"/>
      <c r="AL28" s="28"/>
      <c r="AM28" s="28"/>
      <c r="AN28" s="28"/>
    </row>
    <row r="29" spans="1:40">
      <c r="A29" s="153" t="s">
        <v>91</v>
      </c>
      <c r="B29" s="81">
        <v>1.424501424502408E-5</v>
      </c>
      <c r="C29" s="180">
        <v>1.6964516964523831E-5</v>
      </c>
      <c r="D29" s="180">
        <v>1.4568764568762321E-5</v>
      </c>
      <c r="E29" s="79">
        <v>1.486013986013793E-5</v>
      </c>
      <c r="F29" s="79">
        <v>1.096942273412422E-5</v>
      </c>
      <c r="G29" s="155">
        <v>1.916601916602351E-5</v>
      </c>
      <c r="H29" s="155">
        <v>1.3986013986023139E-5</v>
      </c>
      <c r="I29" s="155">
        <v>1.4245014245021531E-5</v>
      </c>
      <c r="J29" s="155">
        <v>1.0489510489513931E-5</v>
      </c>
      <c r="K29" s="155">
        <v>1.359751359752311E-5</v>
      </c>
      <c r="L29" s="155">
        <v>3.108003108011393E-6</v>
      </c>
      <c r="M29" s="155">
        <v>1.463351463352435E-5</v>
      </c>
      <c r="N29" s="79">
        <v>1.482294117838355E-8</v>
      </c>
      <c r="O29" s="79">
        <v>-4.6485200936158857E-6</v>
      </c>
      <c r="P29" s="79">
        <v>-5.8341136575429486E-6</v>
      </c>
      <c r="Q29" s="79">
        <v>-6.8504226158498528E-6</v>
      </c>
      <c r="R29" s="79">
        <v>-7.6974469685591827E-6</v>
      </c>
      <c r="S29" s="79">
        <v>-8.3751867156287526E-6</v>
      </c>
      <c r="T29" s="79">
        <v>-8.8836418570757845E-6</v>
      </c>
      <c r="U29" s="79">
        <v>-1.7966099661680171E-5</v>
      </c>
      <c r="V29" s="79">
        <v>-8.0622276274454267E-6</v>
      </c>
      <c r="W29" s="79">
        <v>-8.3010884727215761E-6</v>
      </c>
      <c r="X29" s="79">
        <v>-2.9999999999999709E-5</v>
      </c>
      <c r="Y29" s="79">
        <v>-2.0000000000005111E-6</v>
      </c>
      <c r="Z29" s="79">
        <v>6.0000000000007244E-6</v>
      </c>
      <c r="AA29" s="79">
        <v>1.787287692048232E-19</v>
      </c>
      <c r="AB29" s="79">
        <v>1.000000000000118E-5</v>
      </c>
      <c r="AC29" s="177">
        <v>4.0000000000003124E-6</v>
      </c>
      <c r="AH29" s="28"/>
      <c r="AL29" s="28"/>
      <c r="AM29" s="28"/>
      <c r="AN29" s="28"/>
    </row>
    <row r="30" spans="1:40">
      <c r="A30" s="153" t="s">
        <v>92</v>
      </c>
      <c r="B30" s="12">
        <v>-4.5604395604406057E-3</v>
      </c>
      <c r="C30" s="180">
        <v>-4.59040959041022E-3</v>
      </c>
      <c r="D30" s="180">
        <v>-4.1958041958040241E-3</v>
      </c>
      <c r="E30" s="11">
        <v>-4.0909090909089143E-3</v>
      </c>
      <c r="F30" s="11">
        <v>-3.4594816947753708E-3</v>
      </c>
      <c r="G30" s="154">
        <v>-4.9300699300702817E-3</v>
      </c>
      <c r="H30" s="154">
        <v>-4.1358641358650574E-3</v>
      </c>
      <c r="I30" s="154">
        <v>-3.82117882117934E-3</v>
      </c>
      <c r="J30" s="154">
        <v>-3.2167832167836218E-3</v>
      </c>
      <c r="K30" s="154">
        <v>-3.5714285714295909E-3</v>
      </c>
      <c r="L30" s="154">
        <v>-2.2877122877130208E-3</v>
      </c>
      <c r="M30" s="154">
        <v>-3.211788211789282E-3</v>
      </c>
      <c r="N30" s="11">
        <v>-4.3543851347593039E-6</v>
      </c>
      <c r="O30" s="11">
        <v>1.2591647237000781E-3</v>
      </c>
      <c r="P30" s="11">
        <v>1.7025680395843859E-3</v>
      </c>
      <c r="Q30" s="11">
        <v>2.080491340685412E-3</v>
      </c>
      <c r="R30" s="11">
        <v>2.3929346270103961E-3</v>
      </c>
      <c r="S30" s="11">
        <v>2.6398978985456441E-3</v>
      </c>
      <c r="T30" s="11">
        <v>2.8213811552965811E-3</v>
      </c>
      <c r="U30" s="11">
        <v>5.3831425987699872E-3</v>
      </c>
      <c r="V30" s="11">
        <v>2.5494722668637569E-3</v>
      </c>
      <c r="W30" s="11">
        <v>2.614229414610108E-3</v>
      </c>
      <c r="X30" s="11">
        <v>-1.400000000000008E-3</v>
      </c>
      <c r="Y30" s="11">
        <v>-1.8999999999998339E-3</v>
      </c>
      <c r="Z30" s="11">
        <v>-1.8E-3</v>
      </c>
      <c r="AA30" s="11">
        <v>-1.8999999999999839E-3</v>
      </c>
      <c r="AB30" s="11">
        <v>-1.4000000000000631E-3</v>
      </c>
      <c r="AC30" s="15">
        <v>-1.099999999999881E-3</v>
      </c>
      <c r="AH30" s="28"/>
      <c r="AL30" s="28"/>
      <c r="AM30" s="28"/>
      <c r="AN30" s="28"/>
    </row>
    <row r="31" spans="1:40">
      <c r="A31" s="153" t="s">
        <v>93</v>
      </c>
      <c r="B31" s="12">
        <v>-0.30147445147444207</v>
      </c>
      <c r="C31" s="180">
        <v>-0.34939874939875171</v>
      </c>
      <c r="D31" s="180">
        <v>-0.37947885447886198</v>
      </c>
      <c r="E31" s="11">
        <v>-0.41637112887113059</v>
      </c>
      <c r="F31" s="11">
        <v>-0.45419090713208249</v>
      </c>
      <c r="G31" s="154">
        <v>-0.1959725459725547</v>
      </c>
      <c r="H31" s="154">
        <v>-0.24735264735264151</v>
      </c>
      <c r="I31" s="154">
        <v>-0.29388204388205408</v>
      </c>
      <c r="J31" s="154">
        <v>-0.31293706293706403</v>
      </c>
      <c r="K31" s="154">
        <v>-0.34007104007103373</v>
      </c>
      <c r="L31" s="154">
        <v>-0.36574536574537642</v>
      </c>
      <c r="M31" s="154">
        <v>-0.42708772708771281</v>
      </c>
      <c r="N31" s="11">
        <v>-3.9288215547232137E-4</v>
      </c>
      <c r="O31" s="11">
        <v>-0.38002463177202989</v>
      </c>
      <c r="P31" s="11">
        <v>-0.43022855491469542</v>
      </c>
      <c r="Q31" s="11">
        <v>-0.47264736320851569</v>
      </c>
      <c r="R31" s="11">
        <v>-0.5072810566541115</v>
      </c>
      <c r="S31" s="11">
        <v>-0.53412963525027812</v>
      </c>
      <c r="T31" s="11">
        <v>-0.55319309899748748</v>
      </c>
      <c r="U31" s="11">
        <v>-0.72015873442660139</v>
      </c>
      <c r="V31" s="11">
        <v>-0.5283526618309331</v>
      </c>
      <c r="W31" s="11">
        <v>-0.53085224813748055</v>
      </c>
      <c r="X31" s="11">
        <v>-0.25859999999999739</v>
      </c>
      <c r="Y31" s="11">
        <v>-0.32760000000000011</v>
      </c>
      <c r="Z31" s="11">
        <v>-0.36239999999999672</v>
      </c>
      <c r="AA31" s="11">
        <v>-0.41409999999999292</v>
      </c>
      <c r="AB31" s="11">
        <v>-0.42730000000000429</v>
      </c>
      <c r="AC31" s="15">
        <v>-0.43620000000000148</v>
      </c>
      <c r="AH31" s="28"/>
      <c r="AL31" s="28"/>
      <c r="AM31" s="28"/>
      <c r="AN31" s="28"/>
    </row>
    <row r="32" spans="1:40">
      <c r="A32" s="153" t="s">
        <v>94</v>
      </c>
      <c r="B32" s="12">
        <v>1035.6460206460199</v>
      </c>
      <c r="C32" s="180">
        <v>1040.891441891441</v>
      </c>
      <c r="D32" s="180">
        <v>1046.463536463536</v>
      </c>
      <c r="E32" s="11">
        <v>1049.7877122877121</v>
      </c>
      <c r="F32" s="11">
        <v>1053.985661397425</v>
      </c>
      <c r="G32" s="154">
        <v>1039.6806526806531</v>
      </c>
      <c r="H32" s="154">
        <v>1047.9100899100899</v>
      </c>
      <c r="I32" s="154">
        <v>1052.5930735930731</v>
      </c>
      <c r="J32" s="154">
        <v>1055.202797202797</v>
      </c>
      <c r="K32" s="154">
        <v>1062.9480519480519</v>
      </c>
      <c r="L32" s="154">
        <v>1070.2007992007991</v>
      </c>
      <c r="M32" s="154">
        <v>1077.1125541125541</v>
      </c>
      <c r="N32" s="11">
        <v>1.0492059329984611</v>
      </c>
      <c r="O32" s="11">
        <v>1029.1205128043639</v>
      </c>
      <c r="P32" s="11">
        <v>1035.4465839059551</v>
      </c>
      <c r="Q32" s="11">
        <v>1041.5087788077481</v>
      </c>
      <c r="R32" s="11">
        <v>1047.3070975097551</v>
      </c>
      <c r="S32" s="11">
        <v>1052.8415400119511</v>
      </c>
      <c r="T32" s="11">
        <v>1058.1121063143489</v>
      </c>
      <c r="U32" s="11">
        <v>1063.104365316206</v>
      </c>
      <c r="V32" s="11">
        <v>1046.6168874603659</v>
      </c>
      <c r="W32" s="11">
        <v>1050.385066029166</v>
      </c>
      <c r="X32" s="11">
        <v>1056.900000000001</v>
      </c>
      <c r="Y32" s="11">
        <v>1073.8</v>
      </c>
      <c r="Z32" s="11">
        <v>1082.2</v>
      </c>
      <c r="AA32" s="11">
        <v>1095.4000000000001</v>
      </c>
      <c r="AB32" s="11">
        <v>1101.900000000001</v>
      </c>
      <c r="AC32" s="15">
        <v>1106.1999999999989</v>
      </c>
      <c r="AH32" s="28"/>
      <c r="AL32" s="28"/>
      <c r="AM32" s="28"/>
      <c r="AN32" s="28"/>
    </row>
    <row r="33" spans="1:40">
      <c r="A33" s="65" t="s">
        <v>153</v>
      </c>
      <c r="B33" s="156">
        <v>-3.7518545778592809E-7</v>
      </c>
      <c r="C33" s="157">
        <v>-4.384700293497428E-7</v>
      </c>
      <c r="D33" s="157">
        <v>-5.9013701894541953E-7</v>
      </c>
      <c r="E33" s="157">
        <v>-5.7477114969507613E-7</v>
      </c>
      <c r="F33" s="157">
        <v>-7.3809990719568521E-7</v>
      </c>
      <c r="G33" s="158">
        <v>-2.5051092278689249E-7</v>
      </c>
      <c r="H33" s="158">
        <v>-1.154863150635514E-7</v>
      </c>
      <c r="I33" s="158">
        <v>-3.9625163958100068E-7</v>
      </c>
      <c r="J33" s="158">
        <v>-4.3778101422543223E-7</v>
      </c>
      <c r="K33" s="158">
        <v>-3.239474547386884E-7</v>
      </c>
      <c r="L33" s="158">
        <v>-2.3917314137552369E-7</v>
      </c>
      <c r="M33" s="158">
        <v>-4.4683707203885278E-7</v>
      </c>
      <c r="N33" s="157">
        <v>-4.8219240848244827E-7</v>
      </c>
      <c r="O33" s="157">
        <v>-2.1637249431029701E-7</v>
      </c>
      <c r="P33" s="157">
        <v>-1.9864002590039051E-7</v>
      </c>
      <c r="Q33" s="157">
        <v>-1.8554755850254099E-7</v>
      </c>
      <c r="R33" s="157">
        <v>-2.081484313706794E-7</v>
      </c>
      <c r="S33" s="157">
        <v>-2.4683760554107072E-7</v>
      </c>
      <c r="T33" s="157">
        <v>-3.162482117333361E-7</v>
      </c>
      <c r="U33" s="157">
        <v>-3.6010752453252398E-7</v>
      </c>
      <c r="V33" s="157">
        <v>-3.409828540093666E-7</v>
      </c>
      <c r="W33" s="157">
        <v>-2.7767368405956139E-7</v>
      </c>
      <c r="X33" s="157">
        <v>-3.9870036708882882E-7</v>
      </c>
      <c r="Y33" s="157">
        <v>-4.3997689735786048E-7</v>
      </c>
      <c r="Z33" s="157">
        <v>-4.4590743331605648E-7</v>
      </c>
      <c r="AA33" s="157">
        <v>-4.8362564201017082E-7</v>
      </c>
      <c r="AB33" s="157">
        <v>-5.1904050706116934E-7</v>
      </c>
      <c r="AC33" s="159">
        <v>-5.315290679434578E-7</v>
      </c>
      <c r="AH33" s="28"/>
      <c r="AL33" s="28"/>
      <c r="AM33" s="28"/>
      <c r="AN33" s="28"/>
    </row>
    <row r="34" spans="1:40">
      <c r="A34" s="65" t="s">
        <v>154</v>
      </c>
      <c r="B34" s="156">
        <v>1.337306558157121E-4</v>
      </c>
      <c r="C34" s="157">
        <v>1.5311049893457451E-4</v>
      </c>
      <c r="D34" s="157">
        <v>1.7195825398676041E-4</v>
      </c>
      <c r="E34" s="157">
        <v>1.7898060858557969E-4</v>
      </c>
      <c r="F34" s="157">
        <v>2.0548825880465071E-4</v>
      </c>
      <c r="G34" s="158">
        <v>9.9397693192686287E-5</v>
      </c>
      <c r="H34" s="158">
        <v>8.1006298216319657E-5</v>
      </c>
      <c r="I34" s="158">
        <v>1.2244196431305249E-4</v>
      </c>
      <c r="J34" s="158">
        <v>1.2955442595884739E-4</v>
      </c>
      <c r="K34" s="158">
        <v>1.192528060577718E-4</v>
      </c>
      <c r="L34" s="158">
        <v>1.1245423873910411E-4</v>
      </c>
      <c r="M34" s="158">
        <v>1.4050433262157119E-4</v>
      </c>
      <c r="N34" s="157">
        <v>1.6836042269765221E-4</v>
      </c>
      <c r="O34" s="157">
        <v>9.2944265400652704E-5</v>
      </c>
      <c r="P34" s="157">
        <v>8.8901086552638478E-5</v>
      </c>
      <c r="Q34" s="157">
        <v>8.6180836079356184E-5</v>
      </c>
      <c r="R34" s="157">
        <v>9.4795451766574063E-5</v>
      </c>
      <c r="S34" s="157">
        <v>1.077851724173608E-4</v>
      </c>
      <c r="T34" s="157">
        <v>1.2946869808154381E-4</v>
      </c>
      <c r="U34" s="157">
        <v>1.4306345413569679E-4</v>
      </c>
      <c r="V34" s="157">
        <v>1.4763509945946941E-4</v>
      </c>
      <c r="W34" s="157">
        <v>1.2918970630012411E-4</v>
      </c>
      <c r="X34" s="157">
        <v>1.220478139718404E-4</v>
      </c>
      <c r="Y34" s="157">
        <v>1.3468314291437811E-4</v>
      </c>
      <c r="Z34" s="157">
        <v>1.364985637394556E-4</v>
      </c>
      <c r="AA34" s="157">
        <v>1.4804464018694689E-4</v>
      </c>
      <c r="AB34" s="157">
        <v>1.5888563061076331E-4</v>
      </c>
      <c r="AC34" s="159">
        <v>1.6270855549660351E-4</v>
      </c>
      <c r="AH34" s="28"/>
      <c r="AL34" s="28"/>
      <c r="AM34" s="28"/>
      <c r="AN34" s="28"/>
    </row>
    <row r="35" spans="1:40">
      <c r="A35" s="65" t="s">
        <v>155</v>
      </c>
      <c r="B35" s="156">
        <v>-2.065465086427733E-2</v>
      </c>
      <c r="C35" s="157">
        <v>-2.2583603458966019E-2</v>
      </c>
      <c r="D35" s="157">
        <v>-2.381493085739218E-2</v>
      </c>
      <c r="E35" s="157">
        <v>-2.5179229039394031E-2</v>
      </c>
      <c r="F35" s="157">
        <v>-2.7022451316863511E-2</v>
      </c>
      <c r="G35" s="158">
        <v>-1.6594004091322671E-2</v>
      </c>
      <c r="H35" s="158">
        <v>-1.6326018318582401E-2</v>
      </c>
      <c r="I35" s="158">
        <v>-1.7825052268233482E-2</v>
      </c>
      <c r="J35" s="158">
        <v>-1.8442056323904631E-2</v>
      </c>
      <c r="K35" s="158">
        <v>-1.8649277153290279E-2</v>
      </c>
      <c r="L35" s="158">
        <v>-1.9146871586888051E-2</v>
      </c>
      <c r="M35" s="158">
        <v>-2.0478090639796949E-2</v>
      </c>
      <c r="N35" s="157">
        <v>-2.4875194130549581E-2</v>
      </c>
      <c r="O35" s="157">
        <v>-1.81130496054057E-2</v>
      </c>
      <c r="P35" s="157">
        <v>-1.8215261014261779E-2</v>
      </c>
      <c r="Q35" s="157">
        <v>-1.842185649286469E-2</v>
      </c>
      <c r="R35" s="157">
        <v>-1.9613789113848971E-2</v>
      </c>
      <c r="S35" s="157">
        <v>-2.1071890180351379E-2</v>
      </c>
      <c r="T35" s="157">
        <v>-2.311425790835217E-2</v>
      </c>
      <c r="U35" s="157">
        <v>-2.449115954952372E-2</v>
      </c>
      <c r="V35" s="157">
        <v>-2.3307548025843668E-2</v>
      </c>
      <c r="W35" s="157">
        <v>-2.2063411100366671E-2</v>
      </c>
      <c r="X35" s="157">
        <v>-1.640263652340801E-2</v>
      </c>
      <c r="Y35" s="157">
        <v>-1.8100763685652509E-2</v>
      </c>
      <c r="Z35" s="157">
        <v>-1.834474747333132E-2</v>
      </c>
      <c r="AA35" s="157">
        <v>-1.9896484362968529E-2</v>
      </c>
      <c r="AB35" s="157">
        <v>-2.1353461097649191E-2</v>
      </c>
      <c r="AC35" s="159">
        <v>-2.186724373183218E-2</v>
      </c>
      <c r="AH35" s="28"/>
      <c r="AL35" s="28"/>
      <c r="AM35" s="28"/>
      <c r="AN35" s="28"/>
    </row>
    <row r="36" spans="1:40">
      <c r="A36" s="65" t="s">
        <v>95</v>
      </c>
      <c r="B36" s="156">
        <v>0.88600549548126717</v>
      </c>
      <c r="C36" s="157">
        <v>1.0121498268713851</v>
      </c>
      <c r="D36" s="157">
        <v>1.095240615598323</v>
      </c>
      <c r="E36" s="157">
        <v>1.199814021209777</v>
      </c>
      <c r="F36" s="157">
        <v>1.2955508758504231</v>
      </c>
      <c r="G36" s="158">
        <v>0.62178665038234304</v>
      </c>
      <c r="H36" s="158">
        <v>0.69811521912416297</v>
      </c>
      <c r="I36" s="158">
        <v>0.73887963177880245</v>
      </c>
      <c r="J36" s="158">
        <v>0.768989526938054</v>
      </c>
      <c r="K36" s="158">
        <v>0.84461909388751566</v>
      </c>
      <c r="L36" s="158">
        <v>0.91837338500151178</v>
      </c>
      <c r="M36" s="158">
        <v>0.99191690205123273</v>
      </c>
      <c r="N36" s="157">
        <v>1.1812725492441081</v>
      </c>
      <c r="O36" s="157">
        <v>0.77168594240161603</v>
      </c>
      <c r="P36" s="157">
        <v>0.86264055834054609</v>
      </c>
      <c r="Q36" s="157">
        <v>0.95975359984901076</v>
      </c>
      <c r="R36" s="157">
        <v>1.0803379331959571</v>
      </c>
      <c r="S36" s="157">
        <v>1.2056619237217421</v>
      </c>
      <c r="T36" s="157">
        <v>1.3398593506705361</v>
      </c>
      <c r="U36" s="157">
        <v>1.4728697123427259</v>
      </c>
      <c r="V36" s="157">
        <v>1.073445888835588</v>
      </c>
      <c r="W36" s="157">
        <v>1.1542148448531591</v>
      </c>
      <c r="X36" s="157">
        <v>0.60763296845940695</v>
      </c>
      <c r="Y36" s="157">
        <v>0.80451507099290076</v>
      </c>
      <c r="Z36" s="157">
        <v>0.8725673811117256</v>
      </c>
      <c r="AA36" s="157">
        <v>1.0570991296971399</v>
      </c>
      <c r="AB36" s="157">
        <v>1.183338882908368</v>
      </c>
      <c r="AC36" s="159">
        <v>1.2495688783874119</v>
      </c>
      <c r="AH36" s="28"/>
      <c r="AL36" s="28"/>
      <c r="AM36" s="28"/>
      <c r="AN36" s="28"/>
    </row>
    <row r="37" spans="1:40">
      <c r="A37" s="66" t="s">
        <v>96</v>
      </c>
      <c r="B37" s="12">
        <v>5.4390054390082948E-8</v>
      </c>
      <c r="C37" s="180">
        <v>2.719502719503626E-8</v>
      </c>
      <c r="D37" s="180">
        <v>3.7878787878781012E-8</v>
      </c>
      <c r="E37" s="11">
        <v>-2.6223776223781011E-8</v>
      </c>
      <c r="F37" s="11">
        <v>-3.5993418346358599E-9</v>
      </c>
      <c r="G37" s="154">
        <v>-9.0650090650068965E-8</v>
      </c>
      <c r="H37" s="154">
        <v>-6.4750064750040926E-8</v>
      </c>
      <c r="I37" s="154">
        <v>-3.3670033670031111E-7</v>
      </c>
      <c r="J37" s="154">
        <v>-9.0650090650081247E-8</v>
      </c>
      <c r="K37" s="154">
        <v>-4.1440041440039668E-7</v>
      </c>
      <c r="L37" s="154">
        <v>1.942501942502171E-7</v>
      </c>
      <c r="M37" s="154">
        <v>1.5540015540018419E-7</v>
      </c>
      <c r="N37" s="11">
        <v>-3.0907344100735488E-8</v>
      </c>
      <c r="O37" s="11">
        <v>-6.3987625885032709E-23</v>
      </c>
      <c r="P37" s="11">
        <v>2.14663451094817E-21</v>
      </c>
      <c r="Q37" s="11">
        <v>-1.025834552697487E-21</v>
      </c>
      <c r="R37" s="11">
        <v>-9.1135086664173217E-21</v>
      </c>
      <c r="S37" s="11">
        <v>-3.0804728595480962E-21</v>
      </c>
      <c r="T37" s="11">
        <v>-6.9172193983985063E-21</v>
      </c>
      <c r="U37" s="11">
        <v>-3.5002160318799424E-21</v>
      </c>
      <c r="V37" s="11">
        <v>3.0556400121616819E-8</v>
      </c>
      <c r="W37" s="11">
        <v>3.7430360928571112E-8</v>
      </c>
      <c r="X37" s="11">
        <v>6.0000000000003502E-8</v>
      </c>
      <c r="Y37" s="11">
        <v>-9.9999999999993444E-8</v>
      </c>
      <c r="Z37" s="11">
        <v>1.7943342038499419E-21</v>
      </c>
      <c r="AA37" s="11">
        <v>-9.9999999999994212E-8</v>
      </c>
      <c r="AB37" s="11">
        <v>-4.0000000000000338E-8</v>
      </c>
      <c r="AC37" s="15">
        <v>-2.9999999999972471E-9</v>
      </c>
      <c r="AH37" s="29"/>
      <c r="AL37" s="28"/>
      <c r="AM37" s="28"/>
      <c r="AN37" s="28"/>
    </row>
    <row r="38" spans="1:40">
      <c r="A38" s="66" t="s">
        <v>97</v>
      </c>
      <c r="B38" s="12">
        <v>-7.3426573426601619E-6</v>
      </c>
      <c r="C38" s="180">
        <v>-2.9970029970040662E-6</v>
      </c>
      <c r="D38" s="180">
        <v>-4.0459540459542071E-6</v>
      </c>
      <c r="E38" s="11">
        <v>4.5454545454545226E-6</v>
      </c>
      <c r="F38" s="11">
        <v>1.2707880354942709E-6</v>
      </c>
      <c r="G38" s="154">
        <v>1.6483516483514609E-5</v>
      </c>
      <c r="H38" s="154">
        <v>1.9980019980017602E-5</v>
      </c>
      <c r="I38" s="154">
        <v>3.3966033966031139E-5</v>
      </c>
      <c r="J38" s="154">
        <v>1.6483516483516059E-5</v>
      </c>
      <c r="K38" s="154">
        <v>5.5944055944054333E-5</v>
      </c>
      <c r="L38" s="154">
        <v>-3.346653346653584E-5</v>
      </c>
      <c r="M38" s="154">
        <v>-2.197802197802459E-5</v>
      </c>
      <c r="N38" s="11">
        <v>4.3023909641399878E-6</v>
      </c>
      <c r="O38" s="11">
        <v>1.2537540563033899E-19</v>
      </c>
      <c r="P38" s="11">
        <v>-2.298549103222881E-19</v>
      </c>
      <c r="Q38" s="11">
        <v>1.6716720750711859E-19</v>
      </c>
      <c r="R38" s="11">
        <v>2.5283760243105181E-18</v>
      </c>
      <c r="S38" s="11">
        <v>3.7610097665545528E-19</v>
      </c>
      <c r="T38" s="11">
        <v>9.6097676842347254E-19</v>
      </c>
      <c r="U38" s="11">
        <v>-2.7129161359337618E-19</v>
      </c>
      <c r="V38" s="11">
        <v>-6.9176475698210677E-6</v>
      </c>
      <c r="W38" s="11">
        <v>-1.072741893411001E-5</v>
      </c>
      <c r="X38" s="11">
        <v>-1.0000000000000101E-5</v>
      </c>
      <c r="Y38" s="11">
        <v>1.9999999999994642E-6</v>
      </c>
      <c r="Z38" s="11">
        <v>-7.0000000000000694E-6</v>
      </c>
      <c r="AA38" s="11">
        <v>-9.0000000000044719E-7</v>
      </c>
      <c r="AB38" s="11">
        <v>-5.9999999999996266E-6</v>
      </c>
      <c r="AC38" s="15">
        <v>-9.0000000000001205E-6</v>
      </c>
      <c r="AH38" s="29"/>
      <c r="AL38" s="50"/>
      <c r="AM38" s="49"/>
      <c r="AN38" s="49"/>
    </row>
    <row r="39" spans="1:40">
      <c r="A39" s="66" t="s">
        <v>98</v>
      </c>
      <c r="B39" s="12">
        <v>2.088966588966591E-3</v>
      </c>
      <c r="C39" s="180">
        <v>2.483793983793974E-3</v>
      </c>
      <c r="D39" s="180">
        <v>2.8383699633700069E-3</v>
      </c>
      <c r="E39" s="11">
        <v>3.025599400599386E-3</v>
      </c>
      <c r="F39" s="11">
        <v>3.5369263089851562E-3</v>
      </c>
      <c r="G39" s="154">
        <v>1.322751322751296E-3</v>
      </c>
      <c r="H39" s="154">
        <v>6.5582565582564863E-4</v>
      </c>
      <c r="I39" s="154">
        <v>1.871831871831876E-3</v>
      </c>
      <c r="J39" s="154">
        <v>1.322751322751273E-3</v>
      </c>
      <c r="K39" s="154">
        <v>6.0088060088056908E-4</v>
      </c>
      <c r="L39" s="154">
        <v>4.5310245310245254E-3</v>
      </c>
      <c r="M39" s="154">
        <v>4.1303141303141132E-3</v>
      </c>
      <c r="N39" s="11">
        <v>2.993204055138715E-3</v>
      </c>
      <c r="O39" s="11">
        <v>5.6224892161941108E-3</v>
      </c>
      <c r="P39" s="11">
        <v>6.4407620779439343E-3</v>
      </c>
      <c r="Q39" s="11">
        <v>7.2588546615205661E-3</v>
      </c>
      <c r="R39" s="11">
        <v>8.0767669669238353E-3</v>
      </c>
      <c r="S39" s="11">
        <v>8.8944989941542613E-3</v>
      </c>
      <c r="T39" s="11">
        <v>9.7120507432113118E-3</v>
      </c>
      <c r="U39" s="11">
        <v>1.0529422214095261E-2</v>
      </c>
      <c r="V39" s="11">
        <v>3.0122486209442339E-3</v>
      </c>
      <c r="W39" s="11">
        <v>3.4353338283891958E-3</v>
      </c>
      <c r="X39" s="11">
        <v>1.9999999999999992E-3</v>
      </c>
      <c r="Y39" s="11">
        <v>2.0999999999999981E-3</v>
      </c>
      <c r="Z39" s="11">
        <v>2.3000000000000108E-3</v>
      </c>
      <c r="AA39" s="11">
        <v>3.5999999999999969E-3</v>
      </c>
      <c r="AB39" s="11">
        <v>3.699999999999995E-3</v>
      </c>
      <c r="AC39" s="15">
        <v>3.7000000000000019E-3</v>
      </c>
      <c r="AH39" s="29"/>
      <c r="AL39" s="50"/>
      <c r="AM39" s="49"/>
      <c r="AN39" s="49"/>
    </row>
    <row r="40" spans="1:40">
      <c r="A40" s="66" t="s">
        <v>99</v>
      </c>
      <c r="B40" s="12">
        <v>3.8509090909090911</v>
      </c>
      <c r="C40" s="180">
        <v>3.7435164835164838</v>
      </c>
      <c r="D40" s="180">
        <v>3.669045954045953</v>
      </c>
      <c r="E40" s="11">
        <v>3.5691158841158859</v>
      </c>
      <c r="F40" s="11">
        <v>3.4669257213374829</v>
      </c>
      <c r="G40" s="154">
        <v>3.8019647019647009</v>
      </c>
      <c r="H40" s="154">
        <v>3.6975357975357972</v>
      </c>
      <c r="I40" s="154">
        <v>3.6080253080253089</v>
      </c>
      <c r="J40" s="154">
        <v>3.6019647019647012</v>
      </c>
      <c r="K40" s="154">
        <v>3.4974358974358979</v>
      </c>
      <c r="L40" s="154">
        <v>3.3631368631368632</v>
      </c>
      <c r="M40" s="154">
        <v>3.2623376623376621</v>
      </c>
      <c r="N40" s="11">
        <v>3.5888949766000131</v>
      </c>
      <c r="O40" s="11">
        <v>3.957121304446237</v>
      </c>
      <c r="P40" s="11">
        <v>3.8106827556475409</v>
      </c>
      <c r="Q40" s="11">
        <v>3.628535913661231</v>
      </c>
      <c r="R40" s="11">
        <v>3.410680778487309</v>
      </c>
      <c r="S40" s="11">
        <v>3.1571173501257639</v>
      </c>
      <c r="T40" s="11">
        <v>2.8678456285766099</v>
      </c>
      <c r="U40" s="11">
        <v>2.542865613839834</v>
      </c>
      <c r="V40" s="11">
        <v>3.4594002953568181</v>
      </c>
      <c r="W40" s="11">
        <v>3.359409279459268</v>
      </c>
      <c r="X40" s="11">
        <v>3.2595000000000001</v>
      </c>
      <c r="Y40" s="11">
        <v>3.132200000000001</v>
      </c>
      <c r="Z40" s="11">
        <v>3.0747</v>
      </c>
      <c r="AA40" s="11">
        <v>2.982800000000001</v>
      </c>
      <c r="AB40" s="11">
        <v>2.8786999999999998</v>
      </c>
      <c r="AC40" s="15">
        <v>2.8092000000000001</v>
      </c>
      <c r="AH40" s="29"/>
      <c r="AL40" s="50"/>
      <c r="AM40" s="49"/>
      <c r="AN40" s="49"/>
    </row>
    <row r="41" spans="1:40">
      <c r="A41" s="172" t="s">
        <v>100</v>
      </c>
      <c r="B41" s="156">
        <v>104</v>
      </c>
      <c r="C41" s="157">
        <v>105</v>
      </c>
      <c r="D41" s="157">
        <v>105</v>
      </c>
      <c r="E41" s="157">
        <v>106</v>
      </c>
      <c r="F41" s="157">
        <v>106</v>
      </c>
      <c r="G41" s="158">
        <v>102</v>
      </c>
      <c r="H41" s="158">
        <v>104</v>
      </c>
      <c r="I41" s="158">
        <v>104</v>
      </c>
      <c r="J41" s="158">
        <v>104</v>
      </c>
      <c r="K41" s="158">
        <v>106</v>
      </c>
      <c r="L41" s="158">
        <v>106</v>
      </c>
      <c r="M41" s="158">
        <v>108</v>
      </c>
      <c r="N41" s="157">
        <v>104</v>
      </c>
      <c r="O41" s="157">
        <v>103</v>
      </c>
      <c r="P41" s="157">
        <v>103</v>
      </c>
      <c r="Q41" s="157">
        <v>104</v>
      </c>
      <c r="R41" s="157">
        <v>105</v>
      </c>
      <c r="S41" s="157">
        <v>107</v>
      </c>
      <c r="T41" s="157">
        <v>108</v>
      </c>
      <c r="U41" s="157">
        <v>111</v>
      </c>
      <c r="V41" s="157">
        <v>104</v>
      </c>
      <c r="W41" s="157">
        <v>105</v>
      </c>
      <c r="X41" s="157">
        <v>103</v>
      </c>
      <c r="Y41" s="157">
        <v>104</v>
      </c>
      <c r="Z41" s="157">
        <v>105</v>
      </c>
      <c r="AA41" s="157">
        <v>107</v>
      </c>
      <c r="AB41" s="157">
        <v>108</v>
      </c>
      <c r="AC41" s="159">
        <v>109</v>
      </c>
      <c r="AH41" s="29"/>
      <c r="AL41" s="50"/>
      <c r="AM41" s="49"/>
      <c r="AN41" s="49"/>
    </row>
    <row r="42" spans="1:40">
      <c r="A42" s="66" t="s">
        <v>101</v>
      </c>
      <c r="B42" s="12">
        <v>-13</v>
      </c>
      <c r="C42" s="181">
        <v>-17</v>
      </c>
      <c r="D42" s="181">
        <v>-22</v>
      </c>
      <c r="E42" s="11">
        <v>-27</v>
      </c>
      <c r="F42" s="11">
        <v>-32</v>
      </c>
      <c r="G42" s="154">
        <v>-12</v>
      </c>
      <c r="H42" s="154">
        <v>-16</v>
      </c>
      <c r="I42" s="154">
        <v>-18</v>
      </c>
      <c r="J42" s="154">
        <v>-20</v>
      </c>
      <c r="K42" s="154">
        <v>-25</v>
      </c>
      <c r="L42" s="154">
        <v>-30</v>
      </c>
      <c r="M42" s="154">
        <v>-37</v>
      </c>
      <c r="N42" s="11">
        <v>-25</v>
      </c>
      <c r="O42" s="11">
        <v>-11</v>
      </c>
      <c r="P42" s="11">
        <v>-15</v>
      </c>
      <c r="Q42" s="11">
        <v>-20</v>
      </c>
      <c r="R42" s="11">
        <v>-26</v>
      </c>
      <c r="S42" s="11">
        <v>-34</v>
      </c>
      <c r="T42" s="11">
        <v>-44</v>
      </c>
      <c r="U42" s="11">
        <v>-55</v>
      </c>
      <c r="V42" s="11">
        <v>-25</v>
      </c>
      <c r="W42" s="11">
        <v>-30</v>
      </c>
      <c r="X42" s="11">
        <v>-11</v>
      </c>
      <c r="Y42" s="11">
        <v>-16</v>
      </c>
      <c r="Z42" s="11">
        <v>-21</v>
      </c>
      <c r="AA42" s="11">
        <v>-31</v>
      </c>
      <c r="AB42" s="11">
        <v>-36</v>
      </c>
      <c r="AC42" s="15">
        <v>-42</v>
      </c>
      <c r="AH42" s="29"/>
      <c r="AL42" s="50"/>
      <c r="AM42" s="49"/>
      <c r="AN42" s="49"/>
    </row>
    <row r="43" spans="1:40" ht="15" thickBot="1">
      <c r="A43" s="164" t="s">
        <v>47</v>
      </c>
      <c r="B43" s="160">
        <v>1.3759999999999999</v>
      </c>
      <c r="C43" s="161">
        <v>1.6555</v>
      </c>
      <c r="D43" s="161">
        <v>1.8705000000000001</v>
      </c>
      <c r="E43" s="161">
        <v>2.1284999999999998</v>
      </c>
      <c r="F43" s="161">
        <v>2.3005</v>
      </c>
      <c r="G43" s="162">
        <v>0.56000000000000005</v>
      </c>
      <c r="H43" s="162">
        <v>0.66</v>
      </c>
      <c r="I43" s="162">
        <v>0.70599999999999996</v>
      </c>
      <c r="J43" s="162">
        <v>0.76</v>
      </c>
      <c r="K43" s="162">
        <v>0.88</v>
      </c>
      <c r="L43" s="162">
        <v>0.98</v>
      </c>
      <c r="M43" s="162">
        <v>1.1000000000000001</v>
      </c>
      <c r="N43" s="161">
        <v>2.5</v>
      </c>
      <c r="O43" s="161">
        <v>1.1499999999999999</v>
      </c>
      <c r="P43" s="161">
        <v>1.45</v>
      </c>
      <c r="Q43" s="161">
        <v>1.5</v>
      </c>
      <c r="R43" s="161">
        <v>1.72</v>
      </c>
      <c r="S43" s="161">
        <v>2.0674999999999999</v>
      </c>
      <c r="T43" s="161">
        <v>2.14</v>
      </c>
      <c r="U43" s="161">
        <v>2.5</v>
      </c>
      <c r="V43" s="161">
        <v>1.719525</v>
      </c>
      <c r="W43" s="161">
        <v>1.891975</v>
      </c>
      <c r="X43" s="161">
        <v>0.3</v>
      </c>
      <c r="Y43" s="161">
        <v>0.36</v>
      </c>
      <c r="Z43" s="161">
        <v>0.40500000000000003</v>
      </c>
      <c r="AA43" s="161">
        <v>0.47</v>
      </c>
      <c r="AB43" s="161">
        <v>0.498</v>
      </c>
      <c r="AC43" s="163">
        <v>0.52</v>
      </c>
      <c r="AH43" s="28"/>
      <c r="AL43" s="28"/>
      <c r="AM43" s="28"/>
      <c r="AN43" s="28"/>
    </row>
    <row r="44" spans="1:40">
      <c r="D44" s="13"/>
    </row>
    <row r="45" spans="1:40">
      <c r="G45" s="6"/>
      <c r="M45" s="6"/>
      <c r="N45" s="6"/>
      <c r="V45" s="6"/>
    </row>
    <row r="46" spans="1:40">
      <c r="H46" s="51"/>
      <c r="S46" s="6"/>
      <c r="T46" s="6"/>
    </row>
    <row r="47" spans="1:40">
      <c r="Z47" s="76"/>
      <c r="AH47" s="10"/>
    </row>
    <row r="48" spans="1:40">
      <c r="N48" s="6"/>
      <c r="Z48" s="76"/>
    </row>
    <row r="49" spans="1:29">
      <c r="Z49" s="76"/>
    </row>
    <row r="50" spans="1:29" ht="15" thickBot="1">
      <c r="Z50" s="76"/>
    </row>
    <row r="51" spans="1:29" ht="15" thickBot="1">
      <c r="A51" s="77" t="s">
        <v>131</v>
      </c>
      <c r="B51" s="78">
        <v>33</v>
      </c>
      <c r="Z51" s="76"/>
    </row>
    <row r="52" spans="1:29">
      <c r="Z52" s="51"/>
    </row>
    <row r="53" spans="1:29" ht="15" thickBot="1"/>
    <row r="54" spans="1:29" ht="44" thickBot="1">
      <c r="A54" s="42" t="s">
        <v>54</v>
      </c>
      <c r="B54" s="46" t="s">
        <v>62</v>
      </c>
      <c r="C54" s="82" t="s">
        <v>48</v>
      </c>
    </row>
    <row r="55" spans="1:29">
      <c r="A55" s="36">
        <v>1.9628000000000001</v>
      </c>
      <c r="B55" s="36">
        <v>33.923498760000001</v>
      </c>
      <c r="C55" s="83">
        <v>5.0359999999999996</v>
      </c>
    </row>
    <row r="56" spans="1:29">
      <c r="A56" s="17"/>
      <c r="B56" s="17">
        <v>64.964304900000002</v>
      </c>
      <c r="C56" s="84"/>
    </row>
    <row r="57" spans="1:29">
      <c r="A57" s="17">
        <v>93.766999999999996</v>
      </c>
      <c r="B57" s="17"/>
      <c r="C57" s="84"/>
    </row>
    <row r="58" spans="1:29">
      <c r="A58" s="17"/>
      <c r="B58" s="17"/>
      <c r="C58" s="84">
        <v>88.347999999999999</v>
      </c>
      <c r="D58" s="49"/>
    </row>
    <row r="59" spans="1:29">
      <c r="A59" s="17"/>
      <c r="B59" s="17">
        <v>0.8997480000000001</v>
      </c>
      <c r="C59" s="84"/>
      <c r="D59" s="49"/>
      <c r="I59" s="32"/>
    </row>
    <row r="60" spans="1:29">
      <c r="A60" s="17"/>
      <c r="B60" s="17">
        <v>0.12996360000000001</v>
      </c>
      <c r="C60" s="84"/>
      <c r="D60" s="49"/>
      <c r="I60" s="86"/>
    </row>
    <row r="61" spans="1:29">
      <c r="A61" s="17"/>
      <c r="B61" s="17">
        <v>1.299636E-2</v>
      </c>
      <c r="C61" s="84"/>
      <c r="D61" s="49"/>
      <c r="I61" s="86"/>
    </row>
    <row r="62" spans="1:29">
      <c r="A62" s="17"/>
      <c r="B62" s="17">
        <v>1.199664E-3</v>
      </c>
      <c r="C62" s="84"/>
      <c r="D62" s="49"/>
      <c r="I62" s="86"/>
    </row>
    <row r="63" spans="1:29">
      <c r="A63" s="17"/>
      <c r="B63" s="17">
        <v>2.9991600000000001E-4</v>
      </c>
      <c r="C63" s="84"/>
      <c r="D63" s="49"/>
      <c r="I63" s="86"/>
    </row>
    <row r="64" spans="1:29">
      <c r="A64" s="17"/>
      <c r="B64" s="17">
        <v>2.8000000000000001E-2</v>
      </c>
      <c r="C64" s="84"/>
      <c r="D64" s="28"/>
      <c r="E64" s="28"/>
      <c r="I64" s="86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>
      <c r="A65" s="17">
        <v>2.7799999999999998E-2</v>
      </c>
      <c r="B65" s="17"/>
      <c r="C65" s="84"/>
      <c r="D65" s="28"/>
      <c r="E65" s="28"/>
      <c r="I65" s="86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>
      <c r="A66" s="17">
        <v>1.7484999999999999</v>
      </c>
      <c r="B66" s="17"/>
      <c r="C66" s="84">
        <v>3</v>
      </c>
      <c r="D66" s="28"/>
      <c r="I66" s="86"/>
    </row>
    <row r="67" spans="1:29">
      <c r="A67" s="17"/>
      <c r="B67" s="17"/>
      <c r="C67" s="84">
        <v>3.327</v>
      </c>
      <c r="D67" s="49"/>
      <c r="I67" s="86"/>
    </row>
    <row r="68" spans="1:29">
      <c r="A68" s="17">
        <v>0.14729999999999999</v>
      </c>
      <c r="B68" s="17"/>
      <c r="C68" s="84">
        <v>0.16</v>
      </c>
      <c r="D68" s="49"/>
      <c r="I68" s="86"/>
    </row>
    <row r="69" spans="1:29">
      <c r="A69" s="17">
        <v>3.0000000000000001E-3</v>
      </c>
      <c r="B69" s="17"/>
      <c r="C69" s="84">
        <v>4.0000000000000001E-3</v>
      </c>
      <c r="D69" s="49"/>
      <c r="I69" s="86"/>
    </row>
    <row r="70" spans="1:29">
      <c r="A70" s="17"/>
      <c r="B70" s="25">
        <v>3.9988800000000005E-2</v>
      </c>
      <c r="C70" s="84"/>
      <c r="D70" s="49"/>
      <c r="I70" s="86"/>
    </row>
    <row r="71" spans="1:29">
      <c r="A71" s="17"/>
      <c r="B71" s="17"/>
      <c r="C71" s="84">
        <v>2.5000000000000001E-2</v>
      </c>
      <c r="D71" s="49"/>
      <c r="I71" s="86"/>
    </row>
    <row r="72" spans="1:29">
      <c r="A72" s="17"/>
      <c r="B72" s="17"/>
      <c r="C72" s="85">
        <v>0.1</v>
      </c>
      <c r="D72" s="50"/>
      <c r="I72" s="86"/>
    </row>
    <row r="73" spans="1:29">
      <c r="A73" s="17">
        <v>2.2330999999999999</v>
      </c>
      <c r="B73" s="17"/>
      <c r="C73" s="84"/>
      <c r="D73" s="50"/>
      <c r="I73" s="86"/>
    </row>
    <row r="74" spans="1:29">
      <c r="A74" s="17">
        <v>0.1105</v>
      </c>
      <c r="B74" s="17"/>
      <c r="C74" s="84"/>
      <c r="D74" s="50"/>
      <c r="I74" s="86"/>
    </row>
    <row r="75" spans="1:29">
      <c r="A75" s="17"/>
      <c r="B75" s="17"/>
      <c r="C75" s="84"/>
      <c r="D75" s="50"/>
      <c r="I75" s="86"/>
    </row>
    <row r="76" spans="1:29">
      <c r="A76" s="17"/>
      <c r="B76" s="17"/>
      <c r="C76" s="84"/>
      <c r="D76" s="50"/>
      <c r="I76" s="86"/>
    </row>
    <row r="77" spans="1:29">
      <c r="A77" s="17"/>
      <c r="B77" s="17"/>
      <c r="C77" s="84"/>
      <c r="D77" s="50"/>
      <c r="I77" s="86"/>
    </row>
    <row r="78" spans="1:29">
      <c r="A78" s="17"/>
      <c r="B78" s="17"/>
      <c r="C78" s="84"/>
      <c r="D78" s="50"/>
      <c r="I78" s="87"/>
    </row>
    <row r="79" spans="1:29">
      <c r="A79" s="17"/>
      <c r="B79" s="17"/>
      <c r="C79" s="84"/>
      <c r="D79" s="28"/>
      <c r="I79" s="87"/>
    </row>
    <row r="80" spans="1:29">
      <c r="D80" s="50"/>
      <c r="I80" s="87"/>
    </row>
    <row r="81" spans="4:9">
      <c r="D81" s="50"/>
      <c r="I81" s="87"/>
    </row>
    <row r="82" spans="4:9">
      <c r="D82" s="50"/>
      <c r="I82" s="88"/>
    </row>
    <row r="83" spans="4:9">
      <c r="D83" s="50"/>
      <c r="I83" s="88"/>
    </row>
    <row r="84" spans="4:9">
      <c r="D84" s="50"/>
      <c r="I84" s="28"/>
    </row>
    <row r="85" spans="4:9">
      <c r="D85" s="50"/>
      <c r="I85" s="28"/>
    </row>
    <row r="86" spans="4:9">
      <c r="D86" s="50"/>
      <c r="I86" s="28"/>
    </row>
    <row r="87" spans="4:9">
      <c r="D87" s="50"/>
      <c r="I87" s="28"/>
    </row>
    <row r="88" spans="4:9">
      <c r="I88" s="28"/>
    </row>
    <row r="89" spans="4:9">
      <c r="I89" s="28"/>
    </row>
    <row r="90" spans="4:9">
      <c r="I90" s="28"/>
    </row>
    <row r="91" spans="4:9">
      <c r="I91" s="28"/>
    </row>
    <row r="92" spans="4:9">
      <c r="I92" s="28"/>
    </row>
    <row r="93" spans="4:9">
      <c r="I93" s="28"/>
    </row>
    <row r="94" spans="4:9">
      <c r="I94" s="28"/>
    </row>
    <row r="95" spans="4:9">
      <c r="I95" s="28"/>
    </row>
    <row r="96" spans="4:9">
      <c r="I96" s="28"/>
    </row>
    <row r="97" spans="9:9">
      <c r="I97" s="28"/>
    </row>
    <row r="98" spans="9:9">
      <c r="I98" s="28"/>
    </row>
    <row r="99" spans="9:9">
      <c r="I99" s="28"/>
    </row>
    <row r="100" spans="9:9">
      <c r="I100" s="28"/>
    </row>
    <row r="101" spans="9:9">
      <c r="I101" s="28"/>
    </row>
    <row r="102" spans="9:9">
      <c r="I10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CA6-31D6-475F-A132-171D13A5BC68}">
  <dimension ref="A1:T47"/>
  <sheetViews>
    <sheetView zoomScale="85" zoomScaleNormal="85" workbookViewId="0">
      <pane ySplit="1" topLeftCell="A2" activePane="bottomLeft" state="frozen"/>
      <selection pane="bottomLeft" activeCell="D40" sqref="D40"/>
    </sheetView>
  </sheetViews>
  <sheetFormatPr baseColWidth="10" defaultRowHeight="14.5"/>
  <cols>
    <col min="1" max="1" width="28.453125" customWidth="1"/>
    <col min="2" max="2" width="10" customWidth="1"/>
    <col min="3" max="3" width="9.36328125" customWidth="1"/>
    <col min="4" max="4" width="10.1796875" customWidth="1"/>
    <col min="5" max="5" width="9.7265625" customWidth="1"/>
    <col min="6" max="6" width="12.453125" bestFit="1" customWidth="1"/>
    <col min="7" max="9" width="11" bestFit="1" customWidth="1"/>
    <col min="10" max="10" width="12.453125" bestFit="1" customWidth="1"/>
    <col min="11" max="11" width="11" bestFit="1" customWidth="1"/>
    <col min="12" max="12" width="10" customWidth="1"/>
    <col min="13" max="13" width="11.1796875" customWidth="1"/>
    <col min="14" max="15" width="12.453125" bestFit="1" customWidth="1"/>
    <col min="16" max="17" width="11" bestFit="1" customWidth="1"/>
  </cols>
  <sheetData>
    <row r="1" spans="1:20" ht="14.5" customHeight="1">
      <c r="A1" s="182" t="s">
        <v>0</v>
      </c>
      <c r="B1" s="182" t="s">
        <v>1</v>
      </c>
      <c r="C1" s="183"/>
      <c r="D1" s="183"/>
      <c r="E1" s="184"/>
      <c r="F1" s="188" t="s">
        <v>2</v>
      </c>
      <c r="G1" s="189"/>
      <c r="H1" s="189"/>
      <c r="I1" s="190"/>
      <c r="J1" s="188" t="s">
        <v>3</v>
      </c>
      <c r="K1" s="189"/>
      <c r="L1" s="189"/>
      <c r="M1" s="190"/>
      <c r="N1" s="188" t="s">
        <v>5</v>
      </c>
      <c r="O1" s="203"/>
      <c r="P1" s="203"/>
      <c r="Q1" s="190"/>
      <c r="R1" s="201" t="s">
        <v>9</v>
      </c>
      <c r="S1" s="194" t="s">
        <v>10</v>
      </c>
      <c r="T1" s="196" t="s">
        <v>47</v>
      </c>
    </row>
    <row r="2" spans="1:20" ht="31.5" customHeight="1">
      <c r="A2" s="185"/>
      <c r="B2" s="185"/>
      <c r="C2" s="186"/>
      <c r="D2" s="186"/>
      <c r="E2" s="187"/>
      <c r="F2" s="191"/>
      <c r="G2" s="192"/>
      <c r="H2" s="192"/>
      <c r="I2" s="193"/>
      <c r="J2" s="191"/>
      <c r="K2" s="192"/>
      <c r="L2" s="192"/>
      <c r="M2" s="193"/>
      <c r="N2" s="198"/>
      <c r="O2" s="199"/>
      <c r="P2" s="199"/>
      <c r="Q2" s="200"/>
      <c r="R2" s="202"/>
      <c r="S2" s="195"/>
      <c r="T2" s="197"/>
    </row>
    <row r="3" spans="1:20" ht="23" customHeight="1">
      <c r="A3" s="185"/>
      <c r="B3" s="125" t="s">
        <v>6</v>
      </c>
      <c r="C3" s="2" t="s">
        <v>7</v>
      </c>
      <c r="D3" s="9" t="s">
        <v>8</v>
      </c>
      <c r="E3" s="8" t="s">
        <v>4</v>
      </c>
      <c r="F3" s="4" t="s">
        <v>6</v>
      </c>
      <c r="G3" s="2" t="s">
        <v>7</v>
      </c>
      <c r="H3" s="2" t="s">
        <v>8</v>
      </c>
      <c r="I3" s="8" t="s">
        <v>4</v>
      </c>
      <c r="J3" s="4" t="s">
        <v>6</v>
      </c>
      <c r="K3" s="2" t="s">
        <v>7</v>
      </c>
      <c r="L3" s="2" t="s">
        <v>8</v>
      </c>
      <c r="M3" s="8" t="s">
        <v>4</v>
      </c>
      <c r="N3" s="4" t="s">
        <v>6</v>
      </c>
      <c r="O3" s="2" t="s">
        <v>7</v>
      </c>
      <c r="P3" s="2" t="s">
        <v>8</v>
      </c>
      <c r="Q3" s="8" t="s">
        <v>4</v>
      </c>
      <c r="R3" s="202"/>
      <c r="S3" s="195"/>
      <c r="T3" s="197"/>
    </row>
    <row r="4" spans="1:20">
      <c r="A4" s="61" t="s">
        <v>75</v>
      </c>
      <c r="B4" s="135">
        <v>3.4098311309264959E-9</v>
      </c>
      <c r="C4" s="128">
        <v>-5.5757685116025308E-6</v>
      </c>
      <c r="D4" s="128">
        <v>1.317185832869217E-3</v>
      </c>
      <c r="E4" s="136">
        <v>0.44306303577702227</v>
      </c>
      <c r="F4" s="135">
        <v>-4.6485200936158857E-6</v>
      </c>
      <c r="G4" s="128">
        <v>1.2591647237000781E-3</v>
      </c>
      <c r="H4" s="128">
        <v>-0.38002463177202989</v>
      </c>
      <c r="I4" s="136">
        <v>1029.1205128043639</v>
      </c>
      <c r="J4" s="139">
        <v>-2.1637249431029701E-7</v>
      </c>
      <c r="K4" s="129">
        <v>9.2944265400652704E-5</v>
      </c>
      <c r="L4" s="129">
        <v>-1.81130496054057E-2</v>
      </c>
      <c r="M4" s="130">
        <v>0.77168594240161603</v>
      </c>
      <c r="N4" s="135">
        <v>-6.3987625885032709E-23</v>
      </c>
      <c r="O4" s="128">
        <v>1.2537540563033899E-19</v>
      </c>
      <c r="P4" s="128">
        <v>5.6224892161941108E-3</v>
      </c>
      <c r="Q4" s="136">
        <v>3.957121304446237</v>
      </c>
      <c r="R4" s="126">
        <v>103</v>
      </c>
      <c r="S4" s="52">
        <v>-11</v>
      </c>
      <c r="T4" s="52">
        <f>0.46*2.5</f>
        <v>1.1500000000000001</v>
      </c>
    </row>
    <row r="5" spans="1:20">
      <c r="A5" s="62" t="s">
        <v>74</v>
      </c>
      <c r="B5" s="135">
        <v>3.889197471932824E-9</v>
      </c>
      <c r="C5" s="128">
        <v>-5.2737102075178983E-6</v>
      </c>
      <c r="D5" s="128">
        <v>1.136834454303217E-3</v>
      </c>
      <c r="E5" s="136">
        <v>0.41830477149830853</v>
      </c>
      <c r="F5" s="135">
        <v>-5.8341136575429486E-6</v>
      </c>
      <c r="G5" s="128">
        <v>1.7025680395843859E-3</v>
      </c>
      <c r="H5" s="128">
        <v>-0.43022855491469542</v>
      </c>
      <c r="I5" s="136">
        <v>1035.4465839059551</v>
      </c>
      <c r="J5" s="135">
        <v>-1.9864002590039051E-7</v>
      </c>
      <c r="K5" s="128">
        <v>8.8901086552638478E-5</v>
      </c>
      <c r="L5" s="128">
        <v>-1.8215261014261779E-2</v>
      </c>
      <c r="M5" s="136">
        <v>0.86264055834054609</v>
      </c>
      <c r="N5" s="135">
        <v>2.14663451094817E-21</v>
      </c>
      <c r="O5" s="128">
        <v>-2.298549103222881E-19</v>
      </c>
      <c r="P5" s="128">
        <v>6.4407620779439343E-3</v>
      </c>
      <c r="Q5" s="136">
        <v>3.8106827556475409</v>
      </c>
      <c r="R5" s="126">
        <v>103</v>
      </c>
      <c r="S5" s="52">
        <v>-15</v>
      </c>
      <c r="T5" s="52">
        <f>0.58*2.5</f>
        <v>1.45</v>
      </c>
    </row>
    <row r="6" spans="1:20">
      <c r="A6" s="61" t="s">
        <v>73</v>
      </c>
      <c r="B6" s="135">
        <v>4.1043368494163064E-9</v>
      </c>
      <c r="C6" s="128">
        <v>-4.9677926732114094E-6</v>
      </c>
      <c r="D6" s="128">
        <v>9.7185660120149299E-4</v>
      </c>
      <c r="E6" s="136">
        <v>0.39476087885876648</v>
      </c>
      <c r="F6" s="135">
        <v>-6.8504226158498528E-6</v>
      </c>
      <c r="G6" s="128">
        <v>2.080491340685412E-3</v>
      </c>
      <c r="H6" s="128">
        <v>-0.47264736320851569</v>
      </c>
      <c r="I6" s="136">
        <v>1041.5087788077481</v>
      </c>
      <c r="J6" s="135">
        <v>-1.8554755850254099E-7</v>
      </c>
      <c r="K6" s="128">
        <v>8.6180836079356184E-5</v>
      </c>
      <c r="L6" s="128">
        <v>-1.842185649286469E-2</v>
      </c>
      <c r="M6" s="136">
        <v>0.95975359984901076</v>
      </c>
      <c r="N6" s="135">
        <v>-1.025834552697487E-21</v>
      </c>
      <c r="O6" s="128">
        <v>1.6716720750711859E-19</v>
      </c>
      <c r="P6" s="128">
        <v>7.2588546615205661E-3</v>
      </c>
      <c r="Q6" s="136">
        <v>3.628535913661231</v>
      </c>
      <c r="R6" s="126">
        <v>104</v>
      </c>
      <c r="S6" s="52">
        <v>-20</v>
      </c>
      <c r="T6" s="52">
        <f>0.6*2.5</f>
        <v>1.5</v>
      </c>
    </row>
    <row r="7" spans="1:20">
      <c r="A7" s="61" t="s">
        <v>70</v>
      </c>
      <c r="B7" s="135">
        <v>4.0788514552714784E-9</v>
      </c>
      <c r="C7" s="128">
        <v>-4.6640257545009291E-6</v>
      </c>
      <c r="D7" s="128">
        <v>8.2247523991891593E-4</v>
      </c>
      <c r="E7" s="136">
        <v>0.37239724277013903</v>
      </c>
      <c r="F7" s="135">
        <v>-7.6974469685591827E-6</v>
      </c>
      <c r="G7" s="128">
        <v>2.3929346270103961E-3</v>
      </c>
      <c r="H7" s="128">
        <v>-0.5072810566541115</v>
      </c>
      <c r="I7" s="136">
        <v>1047.3070975097551</v>
      </c>
      <c r="J7" s="135">
        <v>-2.081484313706794E-7</v>
      </c>
      <c r="K7" s="128">
        <v>9.4795451766574063E-5</v>
      </c>
      <c r="L7" s="128">
        <v>-1.9613789113848971E-2</v>
      </c>
      <c r="M7" s="136">
        <v>1.0803379331959571</v>
      </c>
      <c r="N7" s="135">
        <v>-9.1135086664173217E-21</v>
      </c>
      <c r="O7" s="128">
        <v>2.5283760243105181E-18</v>
      </c>
      <c r="P7" s="128">
        <v>8.0767669669238353E-3</v>
      </c>
      <c r="Q7" s="136">
        <v>3.410680778487309</v>
      </c>
      <c r="R7" s="126">
        <v>105</v>
      </c>
      <c r="S7" s="52">
        <v>-26</v>
      </c>
      <c r="T7" s="52">
        <f>0.688*2.5</f>
        <v>1.7199999999999998</v>
      </c>
    </row>
    <row r="8" spans="1:20">
      <c r="A8" s="61" t="s">
        <v>71</v>
      </c>
      <c r="B8" s="135">
        <v>3.7889951280775583E-9</v>
      </c>
      <c r="C8" s="128">
        <v>-4.3529356542488382E-6</v>
      </c>
      <c r="D8" s="128">
        <v>6.875149827705562E-4</v>
      </c>
      <c r="E8" s="136">
        <v>0.35120927542435532</v>
      </c>
      <c r="F8" s="135">
        <v>-8.3751867156287526E-6</v>
      </c>
      <c r="G8" s="128">
        <v>2.6398978985456441E-3</v>
      </c>
      <c r="H8" s="128">
        <v>-0.53412963525027812</v>
      </c>
      <c r="I8" s="136">
        <v>1052.8415400119511</v>
      </c>
      <c r="J8" s="135">
        <v>-2.4683760554107072E-7</v>
      </c>
      <c r="K8" s="128">
        <v>1.077851724173608E-4</v>
      </c>
      <c r="L8" s="128">
        <v>-2.1071890180351379E-2</v>
      </c>
      <c r="M8" s="136">
        <v>1.2056619237217421</v>
      </c>
      <c r="N8" s="135">
        <v>-3.0804728595480962E-21</v>
      </c>
      <c r="O8" s="128">
        <v>3.7610097665545528E-19</v>
      </c>
      <c r="P8" s="128">
        <v>8.8944989941542613E-3</v>
      </c>
      <c r="Q8" s="136">
        <v>3.1571173501257639</v>
      </c>
      <c r="R8" s="126">
        <v>107</v>
      </c>
      <c r="S8" s="52">
        <v>-34</v>
      </c>
      <c r="T8" s="52">
        <f>0.827*2.5</f>
        <v>2.0674999999999999</v>
      </c>
    </row>
    <row r="9" spans="1:20">
      <c r="A9" s="61" t="s">
        <v>72</v>
      </c>
      <c r="B9" s="128">
        <v>3.2657134790168988E-9</v>
      </c>
      <c r="C9" s="128">
        <v>-4.0426473529971321E-6</v>
      </c>
      <c r="D9" s="128">
        <v>5.6734517249616711E-4</v>
      </c>
      <c r="E9" s="128">
        <v>0.33116400837706828</v>
      </c>
      <c r="F9" s="128">
        <v>-8.8836418570757845E-6</v>
      </c>
      <c r="G9" s="128">
        <v>2.8213811552965811E-3</v>
      </c>
      <c r="H9" s="128">
        <v>-0.55319309899748748</v>
      </c>
      <c r="I9" s="128">
        <v>1058.1121063143489</v>
      </c>
      <c r="J9" s="128">
        <v>-3.162482117333361E-7</v>
      </c>
      <c r="K9" s="128">
        <v>1.2946869808154381E-4</v>
      </c>
      <c r="L9" s="128">
        <v>-2.311425790835217E-2</v>
      </c>
      <c r="M9" s="128">
        <v>1.3398593506705361</v>
      </c>
      <c r="N9" s="128">
        <v>-6.9172193983985063E-21</v>
      </c>
      <c r="O9" s="128">
        <v>9.6097676842347254E-19</v>
      </c>
      <c r="P9" s="128">
        <v>9.7120507432113118E-3</v>
      </c>
      <c r="Q9" s="128">
        <v>2.8678456285766099</v>
      </c>
      <c r="R9" s="126">
        <v>108</v>
      </c>
      <c r="S9" s="52">
        <v>-44</v>
      </c>
      <c r="T9" s="52">
        <f>0.856*2.5</f>
        <v>2.14</v>
      </c>
    </row>
    <row r="10" spans="1:20">
      <c r="A10" s="61" t="s">
        <v>81</v>
      </c>
      <c r="B10" s="128">
        <v>2.49269830979649E-9</v>
      </c>
      <c r="C10" s="128">
        <v>-3.7268507171732912E-6</v>
      </c>
      <c r="D10" s="128">
        <v>4.6119726482253998E-4</v>
      </c>
      <c r="E10" s="128">
        <v>0.31224407094622181</v>
      </c>
      <c r="F10" s="128">
        <v>-1.7966099661680171E-5</v>
      </c>
      <c r="G10" s="128">
        <v>5.3831425987699872E-3</v>
      </c>
      <c r="H10" s="128">
        <v>-0.72015873442660139</v>
      </c>
      <c r="I10" s="128">
        <v>1063.104365316206</v>
      </c>
      <c r="J10" s="128">
        <v>-3.6010752453252398E-7</v>
      </c>
      <c r="K10" s="128">
        <v>1.4306345413569679E-4</v>
      </c>
      <c r="L10" s="128">
        <v>-2.449115954952372E-2</v>
      </c>
      <c r="M10" s="128">
        <v>1.4728697123427259</v>
      </c>
      <c r="N10" s="128">
        <v>-3.5002160318799424E-21</v>
      </c>
      <c r="O10" s="128">
        <v>-2.7129161359337618E-19</v>
      </c>
      <c r="P10" s="128">
        <v>1.0529422214095261E-2</v>
      </c>
      <c r="Q10" s="128">
        <v>2.542865613839834</v>
      </c>
      <c r="R10" s="127">
        <v>111</v>
      </c>
      <c r="S10" s="56">
        <v>-55</v>
      </c>
      <c r="T10" s="52">
        <v>2.5</v>
      </c>
    </row>
    <row r="11" spans="1:20" ht="16" customHeight="1">
      <c r="A11" s="54" t="s">
        <v>19</v>
      </c>
      <c r="B11" s="132">
        <v>-7.3983987027464613E-9</v>
      </c>
      <c r="C11" s="132">
        <v>-2.1495243886548199E-6</v>
      </c>
      <c r="D11" s="132">
        <v>9.7168433016259074E-4</v>
      </c>
      <c r="E11" s="132">
        <v>0.41242628241323909</v>
      </c>
      <c r="F11" s="132">
        <v>-8.0622276274454267E-6</v>
      </c>
      <c r="G11" s="132">
        <v>2.5494722668637569E-3</v>
      </c>
      <c r="H11" s="132">
        <v>-0.5283526618309331</v>
      </c>
      <c r="I11" s="132">
        <v>1046.6168874603659</v>
      </c>
      <c r="J11" s="132">
        <v>-3.409828540093666E-7</v>
      </c>
      <c r="K11" s="132">
        <v>1.4763509945946941E-4</v>
      </c>
      <c r="L11" s="132">
        <v>-2.3307548025843668E-2</v>
      </c>
      <c r="M11" s="132">
        <v>1.073445888835588</v>
      </c>
      <c r="N11" s="132">
        <v>3.0556400121616819E-8</v>
      </c>
      <c r="O11" s="132">
        <v>-6.9176475698210677E-6</v>
      </c>
      <c r="P11" s="132">
        <v>3.0122486209442339E-3</v>
      </c>
      <c r="Q11" s="132">
        <v>3.4594002953568181</v>
      </c>
      <c r="R11" s="131">
        <v>104</v>
      </c>
      <c r="S11" s="53">
        <v>-25</v>
      </c>
      <c r="T11" s="57">
        <f>0.68781*2.5</f>
        <v>1.719525</v>
      </c>
    </row>
    <row r="12" spans="1:20" ht="16.5" customHeight="1">
      <c r="A12" s="54" t="s">
        <v>20</v>
      </c>
      <c r="B12" s="132">
        <v>-7.3864322201437401E-9</v>
      </c>
      <c r="C12" s="132">
        <v>-1.859251644430163E-6</v>
      </c>
      <c r="D12" s="132">
        <v>8.8859549766661901E-4</v>
      </c>
      <c r="E12" s="132">
        <v>0.39746161905575528</v>
      </c>
      <c r="F12" s="132">
        <v>-8.3010884727215761E-6</v>
      </c>
      <c r="G12" s="132">
        <v>2.614229414610108E-3</v>
      </c>
      <c r="H12" s="132">
        <v>-0.53085224813748055</v>
      </c>
      <c r="I12" s="132">
        <v>1050.385066029166</v>
      </c>
      <c r="J12" s="132">
        <v>-2.7767368405956139E-7</v>
      </c>
      <c r="K12" s="132">
        <v>1.2918970630012411E-4</v>
      </c>
      <c r="L12" s="132">
        <v>-2.2063411100366671E-2</v>
      </c>
      <c r="M12" s="132">
        <v>1.1542148448531591</v>
      </c>
      <c r="N12" s="132">
        <v>3.7430360928571112E-8</v>
      </c>
      <c r="O12" s="132">
        <v>-1.072741893411001E-5</v>
      </c>
      <c r="P12" s="132">
        <v>3.4353338283891958E-3</v>
      </c>
      <c r="Q12" s="132">
        <v>3.359409279459268</v>
      </c>
      <c r="R12" s="131">
        <v>105</v>
      </c>
      <c r="S12" s="53">
        <v>-30</v>
      </c>
      <c r="T12" s="57">
        <f>0.75679*2.5</f>
        <v>1.891975</v>
      </c>
    </row>
    <row r="13" spans="1:20">
      <c r="A13" s="55" t="s">
        <v>77</v>
      </c>
      <c r="B13" s="1">
        <v>1.968401968402486E-8</v>
      </c>
      <c r="C13" s="1">
        <v>-2.477522477523015E-6</v>
      </c>
      <c r="D13" s="1">
        <v>5.0772190772190972E-4</v>
      </c>
      <c r="E13" s="1">
        <v>0.45116150516150533</v>
      </c>
      <c r="F13" s="1">
        <v>1.424501424502408E-5</v>
      </c>
      <c r="G13" s="1">
        <v>-4.5604395604406057E-3</v>
      </c>
      <c r="H13" s="1">
        <v>-0.30147445147444207</v>
      </c>
      <c r="I13" s="1">
        <v>1035.6460206460199</v>
      </c>
      <c r="J13" s="1">
        <v>-3.7518545778592809E-7</v>
      </c>
      <c r="K13" s="1">
        <v>1.337306558157121E-4</v>
      </c>
      <c r="L13" s="1">
        <v>-2.065465086427733E-2</v>
      </c>
      <c r="M13" s="1">
        <v>0.88600549548126717</v>
      </c>
      <c r="N13" s="1">
        <v>5.4390054390082948E-8</v>
      </c>
      <c r="O13" s="1">
        <v>-7.3426573426601619E-6</v>
      </c>
      <c r="P13" s="1">
        <v>2.088966588966591E-3</v>
      </c>
      <c r="Q13" s="1">
        <v>3.8509090909090911</v>
      </c>
      <c r="R13" s="126">
        <v>104</v>
      </c>
      <c r="S13" s="52">
        <v>-13</v>
      </c>
      <c r="T13" s="58">
        <f>0.32*4.3</f>
        <v>1.3759999999999999</v>
      </c>
    </row>
    <row r="14" spans="1:20">
      <c r="A14" s="55" t="s">
        <v>159</v>
      </c>
      <c r="B14" s="1">
        <v>1.502201502201953E-8</v>
      </c>
      <c r="C14" s="1">
        <v>-1.6883116883122119E-6</v>
      </c>
      <c r="D14" s="1">
        <v>4.0708920708921353E-4</v>
      </c>
      <c r="E14" s="1">
        <v>0.44415950715950719</v>
      </c>
      <c r="F14" s="1">
        <v>1.476301476302316E-5</v>
      </c>
      <c r="G14" s="1">
        <v>-4.6303696303702712E-3</v>
      </c>
      <c r="H14" s="1">
        <v>-0.3099178599178759</v>
      </c>
      <c r="I14" s="1">
        <v>1037.6203796203799</v>
      </c>
      <c r="J14" s="1">
        <v>-4.9053692788001294E-7</v>
      </c>
      <c r="K14" s="1">
        <v>1.4490510736799969E-4</v>
      </c>
      <c r="L14" s="1">
        <v>-2.1102393020113831E-2</v>
      </c>
      <c r="M14" s="1">
        <v>0.92741575599165249</v>
      </c>
      <c r="N14" s="1">
        <v>4.2735042735066533E-8</v>
      </c>
      <c r="O14" s="1">
        <v>-4.3956043956060782E-6</v>
      </c>
      <c r="P14" s="1">
        <v>2.08363858363851E-3</v>
      </c>
      <c r="Q14" s="1">
        <v>3.82043956043956</v>
      </c>
      <c r="R14" s="179">
        <v>104.4</v>
      </c>
      <c r="S14" s="178">
        <v>-15</v>
      </c>
      <c r="T14" s="58"/>
    </row>
    <row r="15" spans="1:20">
      <c r="A15" s="55" t="s">
        <v>158</v>
      </c>
      <c r="B15" s="1">
        <v>1.877751877752087E-8</v>
      </c>
      <c r="C15" s="1">
        <v>-1.6983016983019269E-6</v>
      </c>
      <c r="D15" s="1">
        <v>2.8034003034003188E-4</v>
      </c>
      <c r="E15" s="1">
        <v>0.43403230103230089</v>
      </c>
      <c r="F15" s="1">
        <v>1.178451178451987E-5</v>
      </c>
      <c r="G15" s="1">
        <v>-3.9610389610395431E-3</v>
      </c>
      <c r="H15" s="1">
        <v>-0.36006956006957302</v>
      </c>
      <c r="I15" s="1">
        <v>1040.891441891441</v>
      </c>
      <c r="J15" s="1">
        <v>-3.2783399615752238E-7</v>
      </c>
      <c r="K15" s="1">
        <v>1.3350084998229651E-4</v>
      </c>
      <c r="L15" s="1">
        <v>-2.172945388953797E-2</v>
      </c>
      <c r="M15" s="1">
        <v>0.99254367938048627</v>
      </c>
      <c r="N15" s="1">
        <v>-2.0720020719989671E-8</v>
      </c>
      <c r="O15" s="1">
        <v>3.74625374625073E-6</v>
      </c>
      <c r="P15" s="1">
        <v>2.2033707033706921E-3</v>
      </c>
      <c r="Q15" s="1">
        <v>3.76068598068598</v>
      </c>
      <c r="R15" s="179">
        <v>104.7</v>
      </c>
      <c r="S15" s="178">
        <v>-17</v>
      </c>
      <c r="T15" s="58"/>
    </row>
    <row r="16" spans="1:20">
      <c r="A16" s="55" t="s">
        <v>76</v>
      </c>
      <c r="B16" s="1">
        <v>1.9295519295522869E-8</v>
      </c>
      <c r="C16" s="1">
        <v>-1.768231768232106E-6</v>
      </c>
      <c r="D16" s="1">
        <v>2.5021830021830082E-4</v>
      </c>
      <c r="E16" s="1">
        <v>0.43048218448218439</v>
      </c>
      <c r="F16" s="1">
        <v>1.6964516964523831E-5</v>
      </c>
      <c r="G16" s="1">
        <v>-4.59040959041022E-3</v>
      </c>
      <c r="H16" s="1">
        <v>-0.34939874939875171</v>
      </c>
      <c r="I16" s="1">
        <v>1041.9637029637031</v>
      </c>
      <c r="J16" s="1">
        <v>-4.384700293497428E-7</v>
      </c>
      <c r="K16" s="1">
        <v>1.5311049893457451E-4</v>
      </c>
      <c r="L16" s="1">
        <v>-2.2583603458966019E-2</v>
      </c>
      <c r="M16" s="1">
        <v>1.0121498268713851</v>
      </c>
      <c r="N16" s="1">
        <v>2.719502719503626E-8</v>
      </c>
      <c r="O16" s="1">
        <v>-2.9970029970040662E-6</v>
      </c>
      <c r="P16" s="1">
        <v>2.483793983793974E-3</v>
      </c>
      <c r="Q16" s="1">
        <v>3.7435164835164838</v>
      </c>
      <c r="R16" s="126">
        <v>105</v>
      </c>
      <c r="S16" s="52">
        <v>-17</v>
      </c>
      <c r="T16" s="58">
        <f>0.385*4.3</f>
        <v>1.6555</v>
      </c>
    </row>
    <row r="17" spans="1:20">
      <c r="A17" s="55" t="s">
        <v>156</v>
      </c>
      <c r="B17" s="1">
        <v>2.127039627039424E-8</v>
      </c>
      <c r="C17" s="1">
        <v>-1.8531468531466351E-6</v>
      </c>
      <c r="D17" s="1">
        <v>1.4462620712620469E-4</v>
      </c>
      <c r="E17" s="1">
        <v>0.42060889110889099</v>
      </c>
      <c r="F17" s="1">
        <v>1.6608391608390749E-5</v>
      </c>
      <c r="G17" s="1">
        <v>-4.5554445554445884E-3</v>
      </c>
      <c r="H17" s="1">
        <v>-0.36944305694304852</v>
      </c>
      <c r="I17" s="1">
        <v>1045.052447552448</v>
      </c>
      <c r="J17" s="1">
        <v>-4.6264466713936319E-7</v>
      </c>
      <c r="K17" s="1">
        <v>1.5600184593994799E-4</v>
      </c>
      <c r="L17" s="1">
        <v>-2.3368697223064019E-2</v>
      </c>
      <c r="M17" s="1">
        <v>1.078363951602564</v>
      </c>
      <c r="N17" s="1">
        <v>-2.039627039626468E-8</v>
      </c>
      <c r="O17" s="1">
        <v>3.8961038961029361E-6</v>
      </c>
      <c r="P17" s="1">
        <v>2.5240176490176668E-3</v>
      </c>
      <c r="Q17" s="1">
        <v>3.6874675324675339</v>
      </c>
      <c r="R17" s="179">
        <v>105.1</v>
      </c>
      <c r="S17" s="178">
        <v>-20</v>
      </c>
      <c r="T17" s="58"/>
    </row>
    <row r="18" spans="1:20">
      <c r="A18" s="55" t="s">
        <v>78</v>
      </c>
      <c r="B18" s="1">
        <v>2.185314685314616E-8</v>
      </c>
      <c r="C18" s="1">
        <v>-1.788211788211728E-6</v>
      </c>
      <c r="D18" s="1">
        <v>1.082542457542454E-4</v>
      </c>
      <c r="E18" s="1">
        <v>0.41711838161838161</v>
      </c>
      <c r="F18" s="1">
        <v>1.4568764568762321E-5</v>
      </c>
      <c r="G18" s="1">
        <v>-4.1958041958040241E-3</v>
      </c>
      <c r="H18" s="1">
        <v>-0.37947885447886198</v>
      </c>
      <c r="I18" s="1">
        <v>1046.463536463536</v>
      </c>
      <c r="J18" s="1">
        <v>-5.9013701894541953E-7</v>
      </c>
      <c r="K18" s="1">
        <v>1.7195825398676041E-4</v>
      </c>
      <c r="L18" s="1">
        <v>-2.381493085739218E-2</v>
      </c>
      <c r="M18" s="1">
        <v>1.095240615598323</v>
      </c>
      <c r="N18" s="1">
        <v>3.7878787878781012E-8</v>
      </c>
      <c r="O18" s="1">
        <v>-4.0459540459542071E-6</v>
      </c>
      <c r="P18" s="1">
        <v>2.8383699633700069E-3</v>
      </c>
      <c r="Q18" s="1">
        <v>3.669045954045953</v>
      </c>
      <c r="R18" s="126">
        <v>105</v>
      </c>
      <c r="S18" s="52">
        <v>-22</v>
      </c>
      <c r="T18" s="58">
        <f>0.435*4.3</f>
        <v>1.8704999999999998</v>
      </c>
    </row>
    <row r="19" spans="1:20">
      <c r="A19" s="55" t="s">
        <v>157</v>
      </c>
      <c r="B19" s="1">
        <v>2.7389277389276471E-8</v>
      </c>
      <c r="C19" s="1">
        <v>-2.0279720279719311E-6</v>
      </c>
      <c r="D19" s="1">
        <v>-9.3747918747920673E-5</v>
      </c>
      <c r="E19" s="1">
        <v>0.39817182817182811</v>
      </c>
      <c r="F19" s="1">
        <v>1.1946386946385221E-5</v>
      </c>
      <c r="G19" s="1">
        <v>-3.701298701298714E-3</v>
      </c>
      <c r="H19" s="1">
        <v>-0.42736846486845298</v>
      </c>
      <c r="I19" s="1">
        <v>1051.273226773226</v>
      </c>
      <c r="J19" s="1">
        <v>-5.4441244871686048E-7</v>
      </c>
      <c r="K19" s="1">
        <v>1.7792532487584411E-4</v>
      </c>
      <c r="L19" s="1">
        <v>-2.5565409339162491E-2</v>
      </c>
      <c r="M19" s="1">
        <v>1.220146060173793</v>
      </c>
      <c r="N19" s="1">
        <v>-2.6223776223781461E-8</v>
      </c>
      <c r="O19" s="1">
        <v>4.795204795205098E-6</v>
      </c>
      <c r="P19" s="1">
        <v>3.0880369630369399E-3</v>
      </c>
      <c r="Q19" s="1">
        <v>3.5497152847152842</v>
      </c>
      <c r="R19" s="179">
        <v>105.7</v>
      </c>
      <c r="S19" s="178">
        <v>-27</v>
      </c>
      <c r="T19" s="58"/>
    </row>
    <row r="20" spans="1:20">
      <c r="A20" s="55" t="s">
        <v>79</v>
      </c>
      <c r="B20" s="1">
        <v>2.360139860139849E-8</v>
      </c>
      <c r="C20" s="1">
        <v>-1.748251748251772E-6</v>
      </c>
      <c r="D20" s="1">
        <v>-5.715534465534716E-5</v>
      </c>
      <c r="E20" s="1">
        <v>0.40074775224775239</v>
      </c>
      <c r="F20" s="1">
        <v>1.486013986013793E-5</v>
      </c>
      <c r="G20" s="1">
        <v>-4.0909090909089143E-3</v>
      </c>
      <c r="H20" s="1">
        <v>-0.41637112887113059</v>
      </c>
      <c r="I20" s="1">
        <v>1049.7877122877121</v>
      </c>
      <c r="J20" s="1">
        <v>-5.7477114969507613E-7</v>
      </c>
      <c r="K20" s="1">
        <v>1.7898060858557969E-4</v>
      </c>
      <c r="L20" s="1">
        <v>-2.5179229039394031E-2</v>
      </c>
      <c r="M20" s="1">
        <v>1.199814021209777</v>
      </c>
      <c r="N20" s="1">
        <v>-2.6223776223781011E-8</v>
      </c>
      <c r="O20" s="1">
        <v>4.5454545454545226E-6</v>
      </c>
      <c r="P20" s="1">
        <v>3.025599400599386E-3</v>
      </c>
      <c r="Q20" s="1">
        <v>3.5691158841158859</v>
      </c>
      <c r="R20" s="126">
        <v>106</v>
      </c>
      <c r="S20" s="52">
        <v>-27</v>
      </c>
      <c r="T20" s="58">
        <f>0.495*4.3</f>
        <v>2.1284999999999998</v>
      </c>
    </row>
    <row r="21" spans="1:20">
      <c r="A21" s="55" t="s">
        <v>80</v>
      </c>
      <c r="B21" s="1">
        <v>2.4595502536678739E-8</v>
      </c>
      <c r="C21" s="1">
        <v>-1.7377475465710131E-6</v>
      </c>
      <c r="D21" s="1">
        <v>-2.0832794656324129E-4</v>
      </c>
      <c r="E21" s="1">
        <v>0.38577863313157418</v>
      </c>
      <c r="F21" s="1">
        <v>1.096942273412422E-5</v>
      </c>
      <c r="G21" s="1">
        <v>-3.4594816947753708E-3</v>
      </c>
      <c r="H21" s="1">
        <v>-0.45419090713208249</v>
      </c>
      <c r="I21" s="1">
        <v>1053.985661397425</v>
      </c>
      <c r="J21" s="1">
        <v>-7.3809990719568521E-7</v>
      </c>
      <c r="K21" s="1">
        <v>2.0548825880465071E-4</v>
      </c>
      <c r="L21" s="1">
        <v>-2.7022451316863511E-2</v>
      </c>
      <c r="M21" s="1">
        <v>1.2955508758504231</v>
      </c>
      <c r="N21" s="1">
        <v>-3.5993418346358599E-9</v>
      </c>
      <c r="O21" s="1">
        <v>1.2707880354942709E-6</v>
      </c>
      <c r="P21" s="1">
        <v>3.5369263089851562E-3</v>
      </c>
      <c r="Q21" s="1">
        <v>3.4669257213374829</v>
      </c>
      <c r="R21" s="126">
        <v>106</v>
      </c>
      <c r="S21" s="52">
        <v>-32</v>
      </c>
      <c r="T21" s="58">
        <f>0.535*4.3</f>
        <v>2.3005</v>
      </c>
    </row>
    <row r="22" spans="1:20" ht="15.5" customHeight="1">
      <c r="A22" s="63" t="s">
        <v>82</v>
      </c>
      <c r="B22" s="137">
        <v>9.3578476369957959E-23</v>
      </c>
      <c r="C22" s="132">
        <v>3.4724193040791999E-20</v>
      </c>
      <c r="D22" s="132">
        <v>3.9999999999999991E-4</v>
      </c>
      <c r="E22" s="138">
        <v>0.44299999999999978</v>
      </c>
      <c r="F22" s="137">
        <v>-2.9999999999999709E-5</v>
      </c>
      <c r="G22" s="132">
        <v>-1.400000000000008E-3</v>
      </c>
      <c r="H22" s="132">
        <v>-0.25859999999999739</v>
      </c>
      <c r="I22" s="138">
        <v>1056.900000000001</v>
      </c>
      <c r="J22" s="137">
        <v>-3.9870036708882882E-7</v>
      </c>
      <c r="K22" s="132">
        <v>1.220478139718404E-4</v>
      </c>
      <c r="L22" s="132">
        <v>-1.640263652340801E-2</v>
      </c>
      <c r="M22" s="138">
        <v>0.60763296845940695</v>
      </c>
      <c r="N22" s="137">
        <v>6.0000000000003502E-8</v>
      </c>
      <c r="O22" s="132">
        <v>-1.0000000000000101E-5</v>
      </c>
      <c r="P22" s="132">
        <v>1.9999999999999992E-3</v>
      </c>
      <c r="Q22" s="138">
        <v>3.2595000000000001</v>
      </c>
      <c r="R22" s="134">
        <v>103</v>
      </c>
      <c r="S22" s="57">
        <v>-11</v>
      </c>
      <c r="T22" s="57">
        <f>1*0.3</f>
        <v>0.3</v>
      </c>
    </row>
    <row r="23" spans="1:20" ht="17.5" customHeight="1">
      <c r="A23" s="63" t="s">
        <v>83</v>
      </c>
      <c r="B23" s="137">
        <v>2.6146443591820278E-22</v>
      </c>
      <c r="C23" s="132">
        <v>3.8582436711991123E-21</v>
      </c>
      <c r="D23" s="132">
        <v>4.0000000000000018E-4</v>
      </c>
      <c r="E23" s="138">
        <v>0.40779999999999988</v>
      </c>
      <c r="F23" s="137">
        <v>-2.0000000000005111E-6</v>
      </c>
      <c r="G23" s="132">
        <v>-1.8999999999998339E-3</v>
      </c>
      <c r="H23" s="132">
        <v>-0.32760000000000011</v>
      </c>
      <c r="I23" s="138">
        <v>1073.8</v>
      </c>
      <c r="J23" s="137">
        <v>-4.3997689735786048E-7</v>
      </c>
      <c r="K23" s="132">
        <v>1.3468314291437811E-4</v>
      </c>
      <c r="L23" s="132">
        <v>-1.8100763685652509E-2</v>
      </c>
      <c r="M23" s="138">
        <v>0.80451507099290076</v>
      </c>
      <c r="N23" s="137">
        <v>-9.9999999999993444E-8</v>
      </c>
      <c r="O23" s="132">
        <v>1.9999999999994642E-6</v>
      </c>
      <c r="P23" s="132">
        <v>2.0999999999999981E-3</v>
      </c>
      <c r="Q23" s="138">
        <v>3.132200000000001</v>
      </c>
      <c r="R23" s="134">
        <v>104</v>
      </c>
      <c r="S23" s="57">
        <v>-16</v>
      </c>
      <c r="T23" s="57">
        <f>0.36*1</f>
        <v>0.36</v>
      </c>
    </row>
    <row r="24" spans="1:20" ht="17" customHeight="1">
      <c r="A24" s="63" t="s">
        <v>84</v>
      </c>
      <c r="B24" s="137">
        <v>2.4880956230920019E-22</v>
      </c>
      <c r="C24" s="132">
        <v>-1.9291218355995559E-20</v>
      </c>
      <c r="D24" s="132">
        <v>4.0000000000000051E-4</v>
      </c>
      <c r="E24" s="138">
        <v>0.39029999999999998</v>
      </c>
      <c r="F24" s="137">
        <v>6.0000000000007244E-6</v>
      </c>
      <c r="G24" s="132">
        <v>-1.8E-3</v>
      </c>
      <c r="H24" s="132">
        <v>-0.36239999999999672</v>
      </c>
      <c r="I24" s="138">
        <v>1082.2</v>
      </c>
      <c r="J24" s="137">
        <v>-4.4590743331605648E-7</v>
      </c>
      <c r="K24" s="132">
        <v>1.364985637394556E-4</v>
      </c>
      <c r="L24" s="132">
        <v>-1.834474747333132E-2</v>
      </c>
      <c r="M24" s="138">
        <v>0.8725673811117256</v>
      </c>
      <c r="N24" s="137">
        <v>1.7943342038499419E-21</v>
      </c>
      <c r="O24" s="132">
        <v>-7.0000000000000694E-6</v>
      </c>
      <c r="P24" s="132">
        <v>2.3000000000000108E-3</v>
      </c>
      <c r="Q24" s="138">
        <v>3.0747</v>
      </c>
      <c r="R24" s="134">
        <v>105</v>
      </c>
      <c r="S24" s="57">
        <v>-21</v>
      </c>
      <c r="T24" s="57">
        <f>0.405*1</f>
        <v>0.40500000000000003</v>
      </c>
    </row>
    <row r="25" spans="1:20" ht="16" customHeight="1">
      <c r="A25" s="63" t="s">
        <v>85</v>
      </c>
      <c r="B25" s="137">
        <v>1.735752330603518E-22</v>
      </c>
      <c r="C25" s="132">
        <v>1.5432974684796449E-20</v>
      </c>
      <c r="D25" s="132">
        <v>4.0000000000000181E-4</v>
      </c>
      <c r="E25" s="138">
        <v>0.37269999999999992</v>
      </c>
      <c r="F25" s="137">
        <v>1.000000000000069E-5</v>
      </c>
      <c r="G25" s="132">
        <v>-1.9000000000000241E-3</v>
      </c>
      <c r="H25" s="132">
        <v>-0.39680000000000237</v>
      </c>
      <c r="I25" s="138">
        <v>1091</v>
      </c>
      <c r="J25" s="137">
        <v>-4.751545409705308E-7</v>
      </c>
      <c r="K25" s="132">
        <v>1.4545151650519129E-4</v>
      </c>
      <c r="L25" s="132">
        <v>-1.954798106882602E-2</v>
      </c>
      <c r="M25" s="138">
        <v>1.0045258874859599</v>
      </c>
      <c r="N25" s="137">
        <v>-1.9999999999999589E-7</v>
      </c>
      <c r="O25" s="132">
        <v>8.9999999999997495E-6</v>
      </c>
      <c r="P25" s="132">
        <v>2.9000000000000028E-3</v>
      </c>
      <c r="Q25" s="138">
        <v>3.0127999999999999</v>
      </c>
      <c r="R25" s="134">
        <v>106</v>
      </c>
      <c r="S25" s="57">
        <v>-26</v>
      </c>
      <c r="T25" s="57">
        <f>0.445*1</f>
        <v>0.44500000000000001</v>
      </c>
    </row>
    <row r="26" spans="1:20" ht="16" customHeight="1">
      <c r="A26" s="63" t="s">
        <v>86</v>
      </c>
      <c r="B26" s="137">
        <v>3.3772935979610611E-22</v>
      </c>
      <c r="C26" s="132">
        <v>-3.0865949369592892E-20</v>
      </c>
      <c r="D26" s="132">
        <v>3.0000000000000127E-4</v>
      </c>
      <c r="E26" s="138">
        <v>0.3639</v>
      </c>
      <c r="F26" s="137">
        <v>1.787287692048232E-19</v>
      </c>
      <c r="G26" s="132">
        <v>-1.8999999999999839E-3</v>
      </c>
      <c r="H26" s="132">
        <v>-0.41409999999999292</v>
      </c>
      <c r="I26" s="138">
        <v>1095.4000000000001</v>
      </c>
      <c r="J26" s="137">
        <v>-4.8362564201017082E-7</v>
      </c>
      <c r="K26" s="132">
        <v>1.4804464018694689E-4</v>
      </c>
      <c r="L26" s="132">
        <v>-1.9896484362968529E-2</v>
      </c>
      <c r="M26" s="138">
        <v>1.0570991296971399</v>
      </c>
      <c r="N26" s="137">
        <v>-9.9999999999994212E-8</v>
      </c>
      <c r="O26" s="132">
        <v>-9.0000000000044719E-7</v>
      </c>
      <c r="P26" s="132">
        <v>3.5999999999999969E-3</v>
      </c>
      <c r="Q26" s="138">
        <v>2.982800000000001</v>
      </c>
      <c r="R26" s="134">
        <v>107</v>
      </c>
      <c r="S26" s="57">
        <v>-31</v>
      </c>
      <c r="T26" s="57">
        <f>0.47*1</f>
        <v>0.47</v>
      </c>
    </row>
    <row r="27" spans="1:20" ht="16.5" customHeight="1">
      <c r="A27" s="63" t="s">
        <v>87</v>
      </c>
      <c r="B27" s="137">
        <v>2.0187641180909039E-23</v>
      </c>
      <c r="C27" s="132">
        <v>2.8936827533993327E-20</v>
      </c>
      <c r="D27" s="132">
        <v>2.9999999999999938E-4</v>
      </c>
      <c r="E27" s="138">
        <v>0.35510000000000008</v>
      </c>
      <c r="F27" s="137">
        <v>1.000000000000118E-5</v>
      </c>
      <c r="G27" s="132">
        <v>-1.4000000000000631E-3</v>
      </c>
      <c r="H27" s="132">
        <v>-0.42730000000000429</v>
      </c>
      <c r="I27" s="138">
        <v>1101.900000000001</v>
      </c>
      <c r="J27" s="137">
        <v>-5.1904050706116934E-7</v>
      </c>
      <c r="K27" s="132">
        <v>1.5888563061076331E-4</v>
      </c>
      <c r="L27" s="132">
        <v>-2.1353461097649191E-2</v>
      </c>
      <c r="M27" s="138">
        <v>1.183338882908368</v>
      </c>
      <c r="N27" s="137">
        <v>-4.0000000000000338E-8</v>
      </c>
      <c r="O27" s="132">
        <v>-5.9999999999996266E-6</v>
      </c>
      <c r="P27" s="132">
        <v>3.699999999999995E-3</v>
      </c>
      <c r="Q27" s="138">
        <v>2.8786999999999998</v>
      </c>
      <c r="R27" s="134">
        <v>108</v>
      </c>
      <c r="S27" s="57">
        <v>-36</v>
      </c>
      <c r="T27" s="57">
        <f>0.498*1</f>
        <v>0.498</v>
      </c>
    </row>
    <row r="28" spans="1:20" ht="15.5" customHeight="1">
      <c r="A28" s="63" t="s">
        <v>88</v>
      </c>
      <c r="B28" s="137">
        <v>3.8958654249472019E-22</v>
      </c>
      <c r="C28" s="132">
        <v>-2.8936827533993327E-20</v>
      </c>
      <c r="D28" s="132">
        <v>2.9999999999999981E-4</v>
      </c>
      <c r="E28" s="138">
        <v>0.34200000000000008</v>
      </c>
      <c r="F28" s="137">
        <v>4.0000000000003124E-6</v>
      </c>
      <c r="G28" s="132">
        <v>-1.099999999999881E-3</v>
      </c>
      <c r="H28" s="132">
        <v>-0.43620000000000148</v>
      </c>
      <c r="I28" s="138">
        <v>1106.1999999999989</v>
      </c>
      <c r="J28" s="137">
        <v>-5.315290679434578E-7</v>
      </c>
      <c r="K28" s="132">
        <v>1.6270855549660351E-4</v>
      </c>
      <c r="L28" s="132">
        <v>-2.186724373183218E-2</v>
      </c>
      <c r="M28" s="138">
        <v>1.2495688783874119</v>
      </c>
      <c r="N28" s="137">
        <v>-2.9999999999972471E-9</v>
      </c>
      <c r="O28" s="132">
        <v>-9.0000000000001205E-6</v>
      </c>
      <c r="P28" s="132">
        <v>3.7000000000000019E-3</v>
      </c>
      <c r="Q28" s="138">
        <v>2.8092000000000001</v>
      </c>
      <c r="R28" s="134">
        <v>109</v>
      </c>
      <c r="S28" s="57">
        <v>-42</v>
      </c>
      <c r="T28" s="57">
        <f>0.52*1</f>
        <v>0.52</v>
      </c>
    </row>
    <row r="29" spans="1:20" ht="15.5" customHeight="1">
      <c r="A29" s="55" t="s">
        <v>146</v>
      </c>
      <c r="B29" s="5">
        <v>2.7583527583531601E-8</v>
      </c>
      <c r="C29" s="1">
        <v>-4.0209790209793707E-6</v>
      </c>
      <c r="D29" s="1">
        <v>5.4794094794094342E-4</v>
      </c>
      <c r="E29" s="7">
        <v>0.49190909090909102</v>
      </c>
      <c r="F29" s="5">
        <v>1.916601916602351E-5</v>
      </c>
      <c r="G29" s="1">
        <v>-4.9300699300702817E-3</v>
      </c>
      <c r="H29" s="1">
        <v>-0.1959725459725547</v>
      </c>
      <c r="I29" s="7">
        <v>1039.6806526806531</v>
      </c>
      <c r="J29" s="5">
        <v>-2.5051092278689249E-7</v>
      </c>
      <c r="K29" s="1">
        <v>9.9397693192686287E-5</v>
      </c>
      <c r="L29" s="1">
        <v>-1.6594004091322671E-2</v>
      </c>
      <c r="M29" s="7">
        <v>0.62178665038234304</v>
      </c>
      <c r="N29" s="5">
        <v>-9.0650090650068965E-8</v>
      </c>
      <c r="O29" s="1">
        <v>1.6483516483514609E-5</v>
      </c>
      <c r="P29" s="1">
        <v>1.322751322751296E-3</v>
      </c>
      <c r="Q29" s="7">
        <v>3.8019647019647009</v>
      </c>
      <c r="R29" s="127">
        <v>102</v>
      </c>
      <c r="S29" s="56">
        <v>-12</v>
      </c>
      <c r="T29" s="56">
        <f>0.28*2</f>
        <v>0.56000000000000005</v>
      </c>
    </row>
    <row r="30" spans="1:20">
      <c r="A30" s="55" t="s">
        <v>147</v>
      </c>
      <c r="B30" s="5">
        <v>2.9914529914531658E-8</v>
      </c>
      <c r="C30" s="1">
        <v>-3.636363636363778E-6</v>
      </c>
      <c r="D30" s="1">
        <v>3.2777777777777352E-4</v>
      </c>
      <c r="E30" s="7">
        <v>0.47582517482517478</v>
      </c>
      <c r="F30" s="5">
        <v>1.3986013986023139E-5</v>
      </c>
      <c r="G30" s="1">
        <v>-4.1358641358650574E-3</v>
      </c>
      <c r="H30" s="1">
        <v>-0.24735264735264151</v>
      </c>
      <c r="I30" s="7">
        <v>1047.9100899100899</v>
      </c>
      <c r="J30" s="5">
        <v>-1.154863150635514E-7</v>
      </c>
      <c r="K30" s="1">
        <v>8.1006298216319657E-5</v>
      </c>
      <c r="L30" s="1">
        <v>-1.6326018318582401E-2</v>
      </c>
      <c r="M30" s="7">
        <v>0.69811521912416297</v>
      </c>
      <c r="N30" s="5">
        <v>-6.4750064750040926E-8</v>
      </c>
      <c r="O30" s="1">
        <v>1.9980019980017602E-5</v>
      </c>
      <c r="P30" s="1">
        <v>6.5582565582564863E-4</v>
      </c>
      <c r="Q30" s="7">
        <v>3.6975357975357972</v>
      </c>
      <c r="R30" s="127">
        <v>104</v>
      </c>
      <c r="S30" s="56">
        <v>-16</v>
      </c>
      <c r="T30" s="56">
        <f>0.33*2</f>
        <v>0.66</v>
      </c>
    </row>
    <row r="31" spans="1:20">
      <c r="A31" s="55" t="s">
        <v>148</v>
      </c>
      <c r="B31" s="5">
        <v>3.1080031080033481E-8</v>
      </c>
      <c r="C31" s="1">
        <v>-3.316683316683506E-6</v>
      </c>
      <c r="D31" s="1">
        <v>1.9888999888999291E-4</v>
      </c>
      <c r="E31" s="7">
        <v>0.46621978021978028</v>
      </c>
      <c r="F31" s="5">
        <v>1.4245014245021531E-5</v>
      </c>
      <c r="G31" s="1">
        <v>-3.82117882117934E-3</v>
      </c>
      <c r="H31" s="1">
        <v>-0.29388204388205408</v>
      </c>
      <c r="I31" s="7">
        <v>1052.5930735930731</v>
      </c>
      <c r="J31" s="5">
        <v>-3.9625163958100068E-7</v>
      </c>
      <c r="K31" s="1">
        <v>1.2244196431305249E-4</v>
      </c>
      <c r="L31" s="1">
        <v>-1.7825052268233482E-2</v>
      </c>
      <c r="M31" s="7">
        <v>0.73887963177880245</v>
      </c>
      <c r="N31" s="5">
        <v>-3.3670033670031111E-7</v>
      </c>
      <c r="O31" s="1">
        <v>3.3966033966031139E-5</v>
      </c>
      <c r="P31" s="1">
        <v>1.871831871831876E-3</v>
      </c>
      <c r="Q31" s="7">
        <v>3.6080253080253089</v>
      </c>
      <c r="R31" s="127">
        <v>104</v>
      </c>
      <c r="S31" s="56">
        <v>-18</v>
      </c>
      <c r="T31" s="56">
        <f>0.353*2</f>
        <v>0.70599999999999996</v>
      </c>
    </row>
    <row r="32" spans="1:20">
      <c r="A32" s="55" t="s">
        <v>149</v>
      </c>
      <c r="B32" s="5">
        <v>3.2634032634033142E-8</v>
      </c>
      <c r="C32" s="1">
        <v>-3.3466533466533758E-6</v>
      </c>
      <c r="D32" s="1">
        <v>1.231102231102197E-4</v>
      </c>
      <c r="E32" s="7">
        <v>0.46033466533466538</v>
      </c>
      <c r="F32" s="5">
        <v>1.0489510489513931E-5</v>
      </c>
      <c r="G32" s="1">
        <v>-3.2167832167836218E-3</v>
      </c>
      <c r="H32" s="1">
        <v>-0.31293706293706403</v>
      </c>
      <c r="I32" s="7">
        <v>1055.202797202797</v>
      </c>
      <c r="J32" s="5">
        <v>-4.3778101422543223E-7</v>
      </c>
      <c r="K32" s="1">
        <v>1.2955442595884739E-4</v>
      </c>
      <c r="L32" s="1">
        <v>-1.8442056323904631E-2</v>
      </c>
      <c r="M32" s="7">
        <v>0.768989526938054</v>
      </c>
      <c r="N32" s="5">
        <v>-9.0650090650081247E-8</v>
      </c>
      <c r="O32" s="1">
        <v>1.6483516483516059E-5</v>
      </c>
      <c r="P32" s="1">
        <v>1.322751322751273E-3</v>
      </c>
      <c r="Q32" s="7">
        <v>3.6019647019647012</v>
      </c>
      <c r="R32" s="127">
        <v>104</v>
      </c>
      <c r="S32" s="56">
        <v>-20</v>
      </c>
      <c r="T32" s="56">
        <f>0.38*2</f>
        <v>0.76</v>
      </c>
    </row>
    <row r="33" spans="1:20">
      <c r="A33" s="55" t="s">
        <v>150</v>
      </c>
      <c r="B33" s="5">
        <v>4.0792540792543529E-8</v>
      </c>
      <c r="C33" s="1">
        <v>-3.7712287712290621E-6</v>
      </c>
      <c r="D33" s="1">
        <v>-4.8584748584747461E-5</v>
      </c>
      <c r="E33" s="7">
        <v>0.44595404595404597</v>
      </c>
      <c r="F33" s="5">
        <v>1.359751359752311E-5</v>
      </c>
      <c r="G33" s="1">
        <v>-3.5714285714295909E-3</v>
      </c>
      <c r="H33" s="1">
        <v>-0.34007104007103373</v>
      </c>
      <c r="I33" s="7">
        <v>1062.9480519480519</v>
      </c>
      <c r="J33" s="5">
        <v>-3.239474547386884E-7</v>
      </c>
      <c r="K33" s="1">
        <v>1.192528060577718E-4</v>
      </c>
      <c r="L33" s="1">
        <v>-1.8649277153290279E-2</v>
      </c>
      <c r="M33" s="7">
        <v>0.84461909388751566</v>
      </c>
      <c r="N33" s="5">
        <v>-4.1440041440039668E-7</v>
      </c>
      <c r="O33" s="1">
        <v>5.5944055944054333E-5</v>
      </c>
      <c r="P33" s="1">
        <v>6.0088060088056908E-4</v>
      </c>
      <c r="Q33" s="7">
        <v>3.4974358974358979</v>
      </c>
      <c r="R33" s="127">
        <v>106</v>
      </c>
      <c r="S33" s="56">
        <v>-25</v>
      </c>
      <c r="T33" s="56">
        <f>0.44*2</f>
        <v>0.88</v>
      </c>
    </row>
    <row r="34" spans="1:20">
      <c r="A34" s="55" t="s">
        <v>151</v>
      </c>
      <c r="B34" s="5">
        <v>3.6519036519039849E-8</v>
      </c>
      <c r="C34" s="1">
        <v>-2.9270729270732591E-6</v>
      </c>
      <c r="D34" s="1">
        <v>-2.1364191364191089E-4</v>
      </c>
      <c r="E34" s="7">
        <v>0.43215984015983988</v>
      </c>
      <c r="F34" s="5">
        <v>3.108003108011393E-6</v>
      </c>
      <c r="G34" s="1">
        <v>-2.2877122877130208E-3</v>
      </c>
      <c r="H34" s="1">
        <v>-0.36574536574537642</v>
      </c>
      <c r="I34" s="7">
        <v>1070.2007992007991</v>
      </c>
      <c r="J34" s="5">
        <v>-2.3917314137552369E-7</v>
      </c>
      <c r="K34" s="1">
        <v>1.1245423873910411E-4</v>
      </c>
      <c r="L34" s="1">
        <v>-1.9146871586888051E-2</v>
      </c>
      <c r="M34" s="7">
        <v>0.91837338500151178</v>
      </c>
      <c r="N34" s="5">
        <v>1.942501942502171E-7</v>
      </c>
      <c r="O34" s="1">
        <v>-3.346653346653584E-5</v>
      </c>
      <c r="P34" s="1">
        <v>4.5310245310245254E-3</v>
      </c>
      <c r="Q34" s="7">
        <v>3.3631368631368632</v>
      </c>
      <c r="R34" s="127">
        <v>106</v>
      </c>
      <c r="S34" s="56">
        <v>-30</v>
      </c>
      <c r="T34" s="56">
        <f>0.49*2</f>
        <v>0.98</v>
      </c>
    </row>
    <row r="35" spans="1:20">
      <c r="A35" s="55" t="s">
        <v>152</v>
      </c>
      <c r="B35" s="5">
        <v>3.4835534835537961E-8</v>
      </c>
      <c r="C35" s="1">
        <v>-2.54245754245781E-6</v>
      </c>
      <c r="D35" s="1">
        <v>-3.5228475228475599E-4</v>
      </c>
      <c r="E35" s="7">
        <v>0.41983583083583093</v>
      </c>
      <c r="F35" s="5">
        <v>1.463351463352435E-5</v>
      </c>
      <c r="G35" s="1">
        <v>-3.211788211789282E-3</v>
      </c>
      <c r="H35" s="1">
        <v>-0.42708772708771281</v>
      </c>
      <c r="I35" s="7">
        <v>1077.1125541125541</v>
      </c>
      <c r="J35" s="5">
        <v>-4.4683707203885278E-7</v>
      </c>
      <c r="K35" s="1">
        <v>1.4050433262157119E-4</v>
      </c>
      <c r="L35" s="1">
        <v>-2.0478090639796949E-2</v>
      </c>
      <c r="M35" s="7">
        <v>0.99191690205123273</v>
      </c>
      <c r="N35" s="5">
        <v>1.5540015540018419E-7</v>
      </c>
      <c r="O35" s="1">
        <v>-2.197802197802459E-5</v>
      </c>
      <c r="P35" s="1">
        <v>4.1303141303141132E-3</v>
      </c>
      <c r="Q35" s="7">
        <v>3.2623376623376621</v>
      </c>
      <c r="R35" s="127">
        <v>108</v>
      </c>
      <c r="S35" s="56">
        <v>-37</v>
      </c>
      <c r="T35" s="56">
        <f>0.55*2</f>
        <v>1.1000000000000001</v>
      </c>
    </row>
    <row r="36" spans="1:20">
      <c r="A36" s="141" t="s">
        <v>17</v>
      </c>
      <c r="B36" s="142"/>
      <c r="C36" s="143"/>
      <c r="D36" s="144"/>
      <c r="E36" s="145"/>
      <c r="F36" s="146"/>
      <c r="G36" s="147"/>
      <c r="H36" s="147"/>
      <c r="I36" s="145"/>
      <c r="J36" s="148">
        <v>-8.7483398116094155E-7</v>
      </c>
      <c r="K36" s="149">
        <v>2.122274504670709E-4</v>
      </c>
      <c r="L36" s="149">
        <v>-2.5584046456752739E-2</v>
      </c>
      <c r="M36" s="150">
        <v>1.0614280544350461</v>
      </c>
      <c r="N36" s="148">
        <v>-1.3167471021843799E-8</v>
      </c>
      <c r="O36" s="149">
        <v>1.7024516055666998E-5</v>
      </c>
      <c r="P36" s="149">
        <v>1.005897101162819E-3</v>
      </c>
      <c r="Q36" s="150">
        <v>3.7207989840986091</v>
      </c>
      <c r="R36" s="151">
        <v>104</v>
      </c>
      <c r="S36" s="152">
        <v>-25</v>
      </c>
      <c r="T36" s="152">
        <v>2.5</v>
      </c>
    </row>
    <row r="37" spans="1:20" ht="15" thickBot="1">
      <c r="A37" s="64" t="s">
        <v>18</v>
      </c>
      <c r="B37" s="80">
        <v>2.1822241268421379E-8</v>
      </c>
      <c r="C37" s="75">
        <v>-1.607337719415368E-6</v>
      </c>
      <c r="D37" s="75">
        <v>-2.8144299618485621E-5</v>
      </c>
      <c r="E37" s="140">
        <v>0.40412230888877249</v>
      </c>
      <c r="F37" s="80">
        <v>1.482294117838355E-8</v>
      </c>
      <c r="G37" s="75">
        <v>-4.3543851347593039E-6</v>
      </c>
      <c r="H37" s="75">
        <v>-3.9288215547232137E-4</v>
      </c>
      <c r="I37" s="140">
        <v>1.0492059329984611</v>
      </c>
      <c r="J37" s="80">
        <v>-4.8219240848244827E-7</v>
      </c>
      <c r="K37" s="75">
        <v>1.6836042269765221E-4</v>
      </c>
      <c r="L37" s="75">
        <v>-2.4875194130549581E-2</v>
      </c>
      <c r="M37" s="140">
        <v>1.1812725492441081</v>
      </c>
      <c r="N37" s="80">
        <v>-3.0907344100735488E-8</v>
      </c>
      <c r="O37" s="75">
        <v>4.3023909641399878E-6</v>
      </c>
      <c r="P37" s="75">
        <v>2.993204055138715E-3</v>
      </c>
      <c r="Q37" s="140">
        <v>3.5888949766000131</v>
      </c>
      <c r="R37" s="133">
        <v>104</v>
      </c>
      <c r="S37" s="59">
        <v>-25</v>
      </c>
      <c r="T37" s="60">
        <v>2.5</v>
      </c>
    </row>
    <row r="40" spans="1:20">
      <c r="G40" s="6"/>
    </row>
    <row r="41" spans="1:20">
      <c r="E41" s="28"/>
      <c r="F41" s="28"/>
      <c r="G41" s="28"/>
      <c r="H41" s="28"/>
      <c r="I41" s="28"/>
      <c r="J41" s="28"/>
      <c r="K41" s="28"/>
    </row>
    <row r="42" spans="1:20">
      <c r="E42" s="28"/>
      <c r="F42" s="28"/>
      <c r="G42" s="28"/>
      <c r="H42" s="28"/>
      <c r="I42" s="28"/>
      <c r="J42" s="28"/>
      <c r="K42" s="28"/>
    </row>
    <row r="43" spans="1:20">
      <c r="E43" s="28"/>
      <c r="F43" s="28"/>
      <c r="G43" s="28"/>
      <c r="H43" s="28"/>
      <c r="I43" s="28"/>
      <c r="J43" s="28"/>
      <c r="K43" s="28"/>
    </row>
    <row r="44" spans="1:20">
      <c r="E44" s="28"/>
      <c r="F44" s="28"/>
      <c r="G44" s="28"/>
      <c r="H44" s="28"/>
      <c r="I44" s="28"/>
      <c r="J44" s="28"/>
      <c r="K44" s="28"/>
    </row>
    <row r="45" spans="1:20">
      <c r="E45" s="28"/>
      <c r="F45" s="28"/>
      <c r="G45" s="28"/>
      <c r="H45" s="28"/>
      <c r="I45" s="28"/>
      <c r="J45" s="28"/>
      <c r="K45" s="28"/>
    </row>
    <row r="46" spans="1:20">
      <c r="E46" s="28"/>
      <c r="F46" s="28"/>
      <c r="G46" s="28"/>
      <c r="H46" s="28"/>
      <c r="I46" s="28"/>
      <c r="J46" s="28"/>
      <c r="K46" s="28"/>
    </row>
    <row r="47" spans="1:20">
      <c r="E47" s="28"/>
      <c r="F47" s="28"/>
      <c r="G47" s="28"/>
      <c r="H47" s="28"/>
      <c r="I47" s="28"/>
      <c r="J47" s="28"/>
      <c r="K47" s="28"/>
    </row>
  </sheetData>
  <mergeCells count="12">
    <mergeCell ref="S1:S3"/>
    <mergeCell ref="T1:T3"/>
    <mergeCell ref="F2:I2"/>
    <mergeCell ref="N2:Q2"/>
    <mergeCell ref="R1:R3"/>
    <mergeCell ref="N1:Q1"/>
    <mergeCell ref="B1:E1"/>
    <mergeCell ref="B2:E2"/>
    <mergeCell ref="J1:M1"/>
    <mergeCell ref="J2:M2"/>
    <mergeCell ref="A1:A3"/>
    <mergeCell ref="F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E366-51CB-49C2-88E6-08156D42ACB1}">
  <dimension ref="A1:N24"/>
  <sheetViews>
    <sheetView workbookViewId="0">
      <selection activeCell="B26" sqref="B26"/>
    </sheetView>
  </sheetViews>
  <sheetFormatPr baseColWidth="10" defaultRowHeight="14.5"/>
  <cols>
    <col min="1" max="1" width="30.26953125" customWidth="1"/>
    <col min="2" max="2" width="22.36328125" customWidth="1"/>
    <col min="3" max="3" width="37.7265625" customWidth="1"/>
    <col min="4" max="4" width="4.08984375" customWidth="1"/>
    <col min="5" max="5" width="3.81640625" customWidth="1"/>
    <col min="6" max="6" width="4.54296875" customWidth="1"/>
    <col min="7" max="7" width="5" customWidth="1"/>
    <col min="8" max="8" width="6.36328125" customWidth="1"/>
    <col min="9" max="9" width="4.1796875" customWidth="1"/>
    <col min="10" max="10" width="4.36328125" customWidth="1"/>
    <col min="11" max="11" width="4.26953125" customWidth="1"/>
    <col min="12" max="12" width="4.1796875" customWidth="1"/>
    <col min="13" max="13" width="4.08984375" customWidth="1"/>
    <col min="14" max="14" width="4.453125" customWidth="1"/>
  </cols>
  <sheetData>
    <row r="1" spans="1:14" ht="15" thickBot="1">
      <c r="A1" s="68" t="s">
        <v>105</v>
      </c>
      <c r="B1" s="69" t="s">
        <v>106</v>
      </c>
      <c r="C1" s="69" t="s">
        <v>132</v>
      </c>
      <c r="D1" s="70" t="s">
        <v>107</v>
      </c>
      <c r="E1" s="70" t="s">
        <v>108</v>
      </c>
      <c r="F1" s="70" t="s">
        <v>109</v>
      </c>
      <c r="G1" s="70" t="s">
        <v>110</v>
      </c>
      <c r="H1" s="70" t="s">
        <v>111</v>
      </c>
      <c r="I1" s="70" t="s">
        <v>112</v>
      </c>
      <c r="J1" s="71" t="s">
        <v>113</v>
      </c>
      <c r="K1" s="72" t="s">
        <v>114</v>
      </c>
      <c r="L1" s="73" t="s">
        <v>115</v>
      </c>
      <c r="M1" s="74" t="s">
        <v>116</v>
      </c>
      <c r="N1" s="73" t="s">
        <v>117</v>
      </c>
    </row>
    <row r="2" spans="1:14" ht="15" thickBot="1">
      <c r="A2" s="96" t="s">
        <v>28</v>
      </c>
      <c r="B2" s="90" t="s">
        <v>118</v>
      </c>
      <c r="C2" s="104" t="s">
        <v>108</v>
      </c>
      <c r="D2" s="92"/>
      <c r="E2" s="92">
        <v>1</v>
      </c>
      <c r="F2" s="92">
        <v>2</v>
      </c>
      <c r="G2" s="92"/>
      <c r="H2" s="92"/>
      <c r="I2" s="92"/>
      <c r="J2" s="94"/>
      <c r="K2" s="94"/>
      <c r="L2" s="92"/>
      <c r="M2" s="95"/>
      <c r="N2" s="92"/>
    </row>
    <row r="3" spans="1:14">
      <c r="A3" s="97" t="s">
        <v>29</v>
      </c>
      <c r="B3" s="98" t="s">
        <v>119</v>
      </c>
      <c r="C3" s="105" t="s">
        <v>133</v>
      </c>
      <c r="D3" s="92">
        <v>3</v>
      </c>
      <c r="E3" s="92"/>
      <c r="F3" s="92">
        <v>6</v>
      </c>
      <c r="G3" s="92">
        <v>2</v>
      </c>
      <c r="H3" s="92"/>
      <c r="I3" s="92"/>
      <c r="J3" s="94"/>
      <c r="K3" s="94"/>
      <c r="L3" s="92"/>
      <c r="M3" s="95"/>
      <c r="N3" s="92"/>
    </row>
    <row r="4" spans="1:14">
      <c r="A4" s="97" t="s">
        <v>30</v>
      </c>
      <c r="B4" s="92" t="s">
        <v>120</v>
      </c>
      <c r="C4" s="106" t="s">
        <v>137</v>
      </c>
      <c r="D4" s="92">
        <v>2</v>
      </c>
      <c r="E4" s="92"/>
      <c r="F4" s="92">
        <v>4</v>
      </c>
      <c r="G4" s="92">
        <v>2</v>
      </c>
      <c r="H4" s="92"/>
      <c r="I4" s="92"/>
      <c r="J4" s="94"/>
      <c r="K4" s="94"/>
      <c r="L4" s="92"/>
      <c r="M4" s="95"/>
      <c r="N4" s="92"/>
    </row>
    <row r="5" spans="1:14">
      <c r="A5" s="97" t="s">
        <v>31</v>
      </c>
      <c r="B5" s="98" t="s">
        <v>119</v>
      </c>
      <c r="C5" s="107" t="s">
        <v>134</v>
      </c>
      <c r="D5" s="92">
        <v>3</v>
      </c>
      <c r="E5" s="92"/>
      <c r="F5" s="92">
        <v>6</v>
      </c>
      <c r="G5" s="92">
        <v>2</v>
      </c>
      <c r="H5" s="92"/>
      <c r="I5" s="92"/>
      <c r="J5" s="94"/>
      <c r="K5" s="94"/>
      <c r="L5" s="92"/>
      <c r="M5" s="95"/>
      <c r="N5" s="92"/>
    </row>
    <row r="6" spans="1:14">
      <c r="A6" s="91" t="s">
        <v>32</v>
      </c>
      <c r="B6" s="90" t="s">
        <v>121</v>
      </c>
      <c r="C6" s="104" t="s">
        <v>135</v>
      </c>
      <c r="D6" s="92"/>
      <c r="E6" s="92">
        <v>3</v>
      </c>
      <c r="F6" s="92"/>
      <c r="G6" s="92">
        <v>1</v>
      </c>
      <c r="H6" s="92"/>
      <c r="I6" s="92">
        <v>2</v>
      </c>
      <c r="J6" s="94">
        <v>1</v>
      </c>
      <c r="K6" s="94"/>
      <c r="L6" s="92"/>
      <c r="M6" s="95"/>
      <c r="N6" s="92"/>
    </row>
    <row r="7" spans="1:14">
      <c r="A7" s="91" t="s">
        <v>33</v>
      </c>
      <c r="B7" s="92" t="s">
        <v>122</v>
      </c>
      <c r="C7" s="106" t="s">
        <v>136</v>
      </c>
      <c r="D7" s="92">
        <v>7</v>
      </c>
      <c r="E7" s="92">
        <v>2</v>
      </c>
      <c r="F7" s="92">
        <v>5</v>
      </c>
      <c r="G7" s="92"/>
      <c r="H7" s="92"/>
      <c r="I7" s="92"/>
      <c r="J7" s="94"/>
      <c r="K7" s="94">
        <v>1</v>
      </c>
      <c r="L7" s="92"/>
      <c r="M7" s="95"/>
      <c r="N7" s="92"/>
    </row>
    <row r="8" spans="1:14">
      <c r="A8" s="91" t="s">
        <v>34</v>
      </c>
      <c r="B8" s="92" t="s">
        <v>123</v>
      </c>
      <c r="C8" s="106" t="s">
        <v>138</v>
      </c>
      <c r="D8" s="92"/>
      <c r="E8" s="92">
        <v>8</v>
      </c>
      <c r="F8" s="92">
        <v>10</v>
      </c>
      <c r="G8" s="92"/>
      <c r="H8" s="92"/>
      <c r="I8" s="92"/>
      <c r="J8" s="94"/>
      <c r="K8" s="94">
        <v>2</v>
      </c>
      <c r="L8" s="92">
        <v>1</v>
      </c>
      <c r="M8" s="95"/>
      <c r="N8" s="92"/>
    </row>
    <row r="9" spans="1:14" ht="43.5">
      <c r="A9" s="91" t="s">
        <v>22</v>
      </c>
      <c r="B9" s="90" t="s">
        <v>124</v>
      </c>
      <c r="C9" s="89" t="s">
        <v>139</v>
      </c>
      <c r="D9" s="92">
        <v>16</v>
      </c>
      <c r="E9" s="93">
        <v>8</v>
      </c>
      <c r="F9" s="92">
        <v>8</v>
      </c>
      <c r="G9" s="92">
        <v>1</v>
      </c>
      <c r="H9" s="92"/>
      <c r="I9" s="92"/>
      <c r="J9" s="94"/>
      <c r="K9" s="94">
        <v>3</v>
      </c>
      <c r="L9" s="92"/>
      <c r="M9" s="95">
        <v>4</v>
      </c>
      <c r="N9" s="92">
        <v>2</v>
      </c>
    </row>
    <row r="10" spans="1:14" ht="72.5">
      <c r="A10" s="91" t="s">
        <v>23</v>
      </c>
      <c r="B10" s="92" t="s">
        <v>125</v>
      </c>
      <c r="C10" s="89" t="s">
        <v>140</v>
      </c>
      <c r="D10" s="93">
        <v>37</v>
      </c>
      <c r="E10" s="92">
        <v>9</v>
      </c>
      <c r="F10" s="92">
        <v>34</v>
      </c>
      <c r="G10" s="92"/>
      <c r="H10" s="92"/>
      <c r="I10" s="92"/>
      <c r="J10" s="94"/>
      <c r="K10" s="94">
        <v>2</v>
      </c>
      <c r="L10" s="92"/>
      <c r="M10" s="95">
        <v>2</v>
      </c>
      <c r="N10" s="92">
        <v>3</v>
      </c>
    </row>
    <row r="11" spans="1:14" ht="29">
      <c r="A11" s="91" t="s">
        <v>35</v>
      </c>
      <c r="B11" s="98" t="s">
        <v>126</v>
      </c>
      <c r="C11" s="108" t="s">
        <v>141</v>
      </c>
      <c r="D11" s="92">
        <v>28</v>
      </c>
      <c r="E11" s="92">
        <v>3</v>
      </c>
      <c r="F11" s="92">
        <v>34</v>
      </c>
      <c r="G11" s="92"/>
      <c r="H11" s="92"/>
      <c r="I11" s="92"/>
      <c r="J11" s="94"/>
      <c r="K11" s="94"/>
      <c r="L11" s="92"/>
      <c r="M11" s="95">
        <v>2</v>
      </c>
      <c r="N11" s="92"/>
    </row>
    <row r="12" spans="1:14">
      <c r="A12" s="91" t="s">
        <v>36</v>
      </c>
      <c r="B12" s="98"/>
      <c r="C12" s="109"/>
      <c r="D12" s="92"/>
      <c r="E12" s="92"/>
      <c r="F12" s="92"/>
      <c r="G12" s="92"/>
      <c r="H12" s="92"/>
      <c r="I12" s="92"/>
      <c r="J12" s="94"/>
      <c r="K12" s="94"/>
      <c r="L12" s="92"/>
      <c r="M12" s="95"/>
      <c r="N12" s="92"/>
    </row>
    <row r="13" spans="1:14">
      <c r="A13" s="91" t="s">
        <v>37</v>
      </c>
      <c r="B13" s="90" t="s">
        <v>127</v>
      </c>
      <c r="C13" s="104" t="s">
        <v>142</v>
      </c>
      <c r="D13" s="92">
        <v>8</v>
      </c>
      <c r="E13" s="93"/>
      <c r="F13" s="92">
        <v>16</v>
      </c>
      <c r="G13" s="92"/>
      <c r="H13" s="92">
        <v>2</v>
      </c>
      <c r="I13" s="92"/>
      <c r="J13" s="94"/>
      <c r="K13" s="94"/>
      <c r="L13" s="92"/>
      <c r="M13" s="95"/>
      <c r="N13" s="92"/>
    </row>
    <row r="14" spans="1:14">
      <c r="A14" s="91" t="s">
        <v>38</v>
      </c>
      <c r="B14" s="90" t="s">
        <v>128</v>
      </c>
      <c r="C14" s="104" t="s">
        <v>143</v>
      </c>
      <c r="D14" s="92"/>
      <c r="E14" s="92"/>
      <c r="F14" s="92"/>
      <c r="G14" s="92">
        <v>1</v>
      </c>
      <c r="H14" s="92"/>
      <c r="I14" s="92">
        <v>1</v>
      </c>
      <c r="J14" s="94"/>
      <c r="K14" s="94"/>
      <c r="L14" s="92"/>
      <c r="M14" s="95"/>
      <c r="N14" s="92"/>
    </row>
    <row r="15" spans="1:14">
      <c r="A15" s="91" t="s">
        <v>39</v>
      </c>
      <c r="B15" s="90" t="s">
        <v>129</v>
      </c>
      <c r="C15" s="104" t="s">
        <v>144</v>
      </c>
      <c r="D15" s="92">
        <v>7</v>
      </c>
      <c r="E15" s="92"/>
      <c r="F15" s="92">
        <v>7</v>
      </c>
      <c r="G15" s="92"/>
      <c r="H15" s="92"/>
      <c r="I15" s="92"/>
      <c r="J15" s="94"/>
      <c r="K15" s="94"/>
      <c r="L15" s="92"/>
      <c r="M15" s="95">
        <v>3</v>
      </c>
      <c r="N15" s="92"/>
    </row>
    <row r="16" spans="1:14">
      <c r="A16" s="91" t="s">
        <v>40</v>
      </c>
      <c r="B16" s="90"/>
      <c r="C16" s="104"/>
      <c r="D16" s="92"/>
      <c r="E16" s="92"/>
      <c r="F16" s="92"/>
      <c r="G16" s="92"/>
      <c r="H16" s="92"/>
      <c r="I16" s="92"/>
      <c r="J16" s="94"/>
      <c r="K16" s="94"/>
      <c r="L16" s="92"/>
      <c r="M16" s="95"/>
      <c r="N16" s="92"/>
    </row>
    <row r="17" spans="1:14">
      <c r="A17" s="99" t="s">
        <v>24</v>
      </c>
      <c r="B17" s="100"/>
      <c r="C17" s="110"/>
      <c r="D17" s="92"/>
      <c r="E17" s="92"/>
      <c r="F17" s="92"/>
      <c r="G17" s="92"/>
      <c r="H17" s="92"/>
      <c r="I17" s="92"/>
      <c r="J17" s="94"/>
      <c r="K17" s="94"/>
      <c r="L17" s="92"/>
      <c r="M17" s="95"/>
      <c r="N17" s="92"/>
    </row>
    <row r="18" spans="1:14">
      <c r="A18" s="91" t="s">
        <v>25</v>
      </c>
      <c r="B18" s="90"/>
      <c r="C18" s="104"/>
      <c r="D18" s="92"/>
      <c r="E18" s="92"/>
      <c r="F18" s="92"/>
      <c r="G18" s="92"/>
      <c r="H18" s="92"/>
      <c r="I18" s="92"/>
      <c r="J18" s="94"/>
      <c r="K18" s="94"/>
      <c r="L18" s="92"/>
      <c r="M18" s="95"/>
      <c r="N18" s="92"/>
    </row>
    <row r="19" spans="1:14">
      <c r="A19" s="91" t="s">
        <v>26</v>
      </c>
      <c r="B19" s="90"/>
      <c r="C19" s="104"/>
      <c r="D19" s="92"/>
      <c r="E19" s="92"/>
      <c r="F19" s="92"/>
      <c r="G19" s="92"/>
      <c r="H19" s="92"/>
      <c r="I19" s="92"/>
      <c r="J19" s="94"/>
      <c r="K19" s="94"/>
      <c r="L19" s="92"/>
      <c r="M19" s="95"/>
      <c r="N19" s="92"/>
    </row>
    <row r="20" spans="1:14">
      <c r="A20" s="91" t="s">
        <v>41</v>
      </c>
      <c r="B20" s="90" t="s">
        <v>130</v>
      </c>
      <c r="C20" s="104" t="s">
        <v>145</v>
      </c>
      <c r="D20" s="92"/>
      <c r="E20" s="92"/>
      <c r="F20" s="92"/>
      <c r="G20" s="92">
        <v>1</v>
      </c>
      <c r="H20" s="92"/>
      <c r="I20" s="92"/>
      <c r="J20" s="94"/>
      <c r="K20" s="94">
        <v>1</v>
      </c>
      <c r="L20" s="92"/>
      <c r="M20" s="95"/>
      <c r="N20" s="92"/>
    </row>
    <row r="21" spans="1:14">
      <c r="A21" s="91" t="s">
        <v>42</v>
      </c>
      <c r="B21" s="90"/>
      <c r="C21" s="104"/>
      <c r="D21" s="92"/>
      <c r="E21" s="92"/>
      <c r="F21" s="92"/>
      <c r="G21" s="92"/>
      <c r="H21" s="92"/>
      <c r="I21" s="92"/>
      <c r="J21" s="94"/>
      <c r="K21" s="94"/>
      <c r="L21" s="92"/>
      <c r="M21" s="95"/>
      <c r="N21" s="92"/>
    </row>
    <row r="22" spans="1:14">
      <c r="A22" s="91" t="s">
        <v>27</v>
      </c>
      <c r="B22" s="90"/>
      <c r="C22" s="104"/>
      <c r="D22" s="92"/>
      <c r="E22" s="92"/>
      <c r="F22" s="92"/>
      <c r="G22" s="92"/>
      <c r="H22" s="92"/>
      <c r="I22" s="92"/>
      <c r="J22" s="94"/>
      <c r="K22" s="94"/>
      <c r="L22" s="92"/>
      <c r="M22" s="95"/>
      <c r="N22" s="92"/>
    </row>
    <row r="23" spans="1:14">
      <c r="A23" s="101" t="s">
        <v>44</v>
      </c>
      <c r="B23" s="102"/>
      <c r="C23" s="111"/>
      <c r="D23" s="92"/>
      <c r="E23" s="92"/>
      <c r="F23" s="92"/>
      <c r="G23" s="92"/>
      <c r="H23" s="92"/>
      <c r="I23" s="92"/>
      <c r="J23" s="94"/>
      <c r="K23" s="94"/>
      <c r="L23" s="92"/>
      <c r="M23" s="95"/>
      <c r="N23" s="92"/>
    </row>
    <row r="24" spans="1:14" ht="15" thickBot="1">
      <c r="A24" s="103" t="s">
        <v>43</v>
      </c>
      <c r="B24" s="102"/>
      <c r="C24" s="111"/>
      <c r="D24" s="92"/>
      <c r="E24" s="92"/>
      <c r="F24" s="92"/>
      <c r="G24" s="92"/>
      <c r="H24" s="92"/>
      <c r="I24" s="92"/>
      <c r="J24" s="94"/>
      <c r="K24" s="94"/>
      <c r="L24" s="92"/>
      <c r="M24" s="95"/>
      <c r="N24" s="9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 de donnees (a jour)</vt:lpstr>
      <vt:lpstr>calcul parametres</vt:lpstr>
      <vt:lpstr>Formule moléculaire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GUELMOUSSI</dc:creator>
  <cp:lastModifiedBy>GESTIMAT</cp:lastModifiedBy>
  <dcterms:created xsi:type="dcterms:W3CDTF">2015-06-05T18:19:34Z</dcterms:created>
  <dcterms:modified xsi:type="dcterms:W3CDTF">2022-06-02T13:27:00Z</dcterms:modified>
</cp:coreProperties>
</file>