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ehdi\Desktop\"/>
    </mc:Choice>
  </mc:AlternateContent>
  <xr:revisionPtr revIDLastSave="0" documentId="8_{55028535-6BA8-4BDB-B5F0-3E74D1A92519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ریز فروش" sheetId="1" r:id="rId1"/>
    <sheet name="customers" sheetId="8" r:id="rId2"/>
    <sheet name="Sheet3" sheetId="7" r:id="rId3"/>
    <sheet name="Sheet5" sheetId="9" r:id="rId4"/>
    <sheet name="reports" sheetId="6" r:id="rId5"/>
    <sheet name="فروش 1402" sheetId="2" r:id="rId6"/>
    <sheet name="مطالبات 1" sheetId="3" r:id="rId7"/>
    <sheet name="مطالبات 2" sheetId="4" r:id="rId8"/>
  </sheets>
  <calcPr calcId="19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9" l="1"/>
  <c r="I5" i="9"/>
  <c r="J5" i="9" s="1"/>
  <c r="H5" i="9"/>
  <c r="H6" i="9"/>
  <c r="I6" i="9" s="1"/>
  <c r="J6" i="9" s="1"/>
  <c r="H7" i="9"/>
  <c r="I7" i="9" s="1"/>
  <c r="J7" i="9" s="1"/>
  <c r="H8" i="9"/>
  <c r="I8" i="9" s="1"/>
  <c r="J8" i="9" s="1"/>
  <c r="H9" i="9"/>
  <c r="I9" i="9" s="1"/>
  <c r="J9" i="9" s="1"/>
  <c r="H10" i="9"/>
  <c r="I10" i="9" s="1"/>
  <c r="J10" i="9" s="1"/>
  <c r="H11" i="9"/>
  <c r="I11" i="9" s="1"/>
  <c r="J11" i="9" s="1"/>
  <c r="H12" i="9"/>
  <c r="I12" i="9" s="1"/>
  <c r="J12" i="9" s="1"/>
  <c r="H13" i="9"/>
  <c r="I13" i="9" s="1"/>
  <c r="J13" i="9" s="1"/>
  <c r="H14" i="9"/>
  <c r="I14" i="9" s="1"/>
  <c r="J14" i="9" s="1"/>
  <c r="H15" i="9"/>
  <c r="I15" i="9" s="1"/>
  <c r="J15" i="9" s="1"/>
  <c r="H16" i="9"/>
  <c r="I16" i="9" s="1"/>
  <c r="J16" i="9" s="1"/>
  <c r="H17" i="9"/>
  <c r="I17" i="9" s="1"/>
  <c r="J17" i="9" s="1"/>
  <c r="H18" i="9"/>
  <c r="I18" i="9" s="1"/>
  <c r="J18" i="9" s="1"/>
  <c r="H19" i="9"/>
  <c r="I19" i="9" s="1"/>
  <c r="J19" i="9" s="1"/>
  <c r="H20" i="9"/>
  <c r="I20" i="9" s="1"/>
  <c r="J20" i="9" s="1"/>
  <c r="H4" i="9"/>
  <c r="I4" i="9" s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2" i="6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4" i="7"/>
  <c r="C55" i="4" l="1"/>
  <c r="C56" i="4" s="1"/>
  <c r="C53" i="4"/>
  <c r="C54" i="4" s="1"/>
  <c r="C52" i="4"/>
  <c r="C50" i="4"/>
  <c r="C48" i="4"/>
  <c r="C49" i="4" s="1"/>
  <c r="C46" i="4"/>
  <c r="C47" i="4" s="1"/>
  <c r="C45" i="4"/>
  <c r="C43" i="4"/>
  <c r="C42" i="4"/>
  <c r="C44" i="4" s="1"/>
  <c r="C40" i="4"/>
  <c r="C37" i="4"/>
  <c r="C35" i="4"/>
  <c r="C33" i="4"/>
  <c r="C34" i="4" s="1"/>
  <c r="C32" i="4"/>
  <c r="C30" i="4"/>
  <c r="C31" i="4" s="1"/>
  <c r="C29" i="4"/>
  <c r="C28" i="4"/>
  <c r="C27" i="4"/>
  <c r="C24" i="4"/>
  <c r="C26" i="4" s="1"/>
  <c r="C22" i="4"/>
  <c r="C23" i="4" s="1"/>
  <c r="C58" i="4" s="1"/>
  <c r="C19" i="4"/>
  <c r="C18" i="4"/>
  <c r="C20" i="4" s="1"/>
  <c r="C17" i="4"/>
  <c r="C16" i="4"/>
  <c r="C15" i="4"/>
  <c r="C13" i="4"/>
  <c r="C12" i="4"/>
  <c r="C14" i="4" s="1"/>
  <c r="C10" i="4"/>
  <c r="C9" i="4"/>
  <c r="C8" i="4"/>
  <c r="C11" i="4" s="1"/>
  <c r="C6" i="4"/>
  <c r="C5" i="4"/>
  <c r="C3" i="4"/>
  <c r="C2" i="4"/>
  <c r="C4" i="4" s="1"/>
  <c r="E15" i="3"/>
  <c r="F18" i="3"/>
  <c r="E18" i="3"/>
  <c r="D16" i="3" s="1"/>
  <c r="F17" i="3"/>
  <c r="E17" i="3"/>
  <c r="F16" i="3"/>
  <c r="E16" i="3"/>
  <c r="D19" i="3" s="1"/>
  <c r="G15" i="3"/>
  <c r="F15" i="3"/>
  <c r="D56" i="3"/>
  <c r="D55" i="3"/>
  <c r="D54" i="3"/>
  <c r="D53" i="3"/>
  <c r="D50" i="3"/>
  <c r="D47" i="3"/>
  <c r="D46" i="3"/>
  <c r="D45" i="3"/>
  <c r="D42" i="3"/>
  <c r="D41" i="3"/>
  <c r="D40" i="3"/>
  <c r="D37" i="3"/>
  <c r="D38" i="3" s="1"/>
  <c r="D33" i="3"/>
  <c r="D32" i="3"/>
  <c r="D29" i="3"/>
  <c r="D28" i="3"/>
  <c r="D27" i="3"/>
  <c r="D26" i="3"/>
  <c r="D25" i="3"/>
  <c r="D22" i="3"/>
  <c r="D18" i="3"/>
  <c r="D17" i="3"/>
  <c r="D15" i="3"/>
  <c r="D12" i="3"/>
  <c r="D9" i="3"/>
  <c r="D8" i="3"/>
  <c r="D5" i="3"/>
  <c r="C7" i="4" l="1"/>
  <c r="C57" i="4"/>
  <c r="C59" i="4" s="1"/>
  <c r="D35" i="3"/>
  <c r="D48" i="3"/>
  <c r="D20" i="3"/>
  <c r="D23" i="3"/>
  <c r="D30" i="3"/>
  <c r="D57" i="3"/>
  <c r="D10" i="3"/>
  <c r="D43" i="3"/>
  <c r="D49" i="3" l="1"/>
  <c r="D51" i="3" s="1"/>
  <c r="D58" i="3" s="1"/>
  <c r="D60" i="3" s="1"/>
  <c r="I72" i="2" l="1"/>
  <c r="H72" i="2"/>
  <c r="G72" i="2"/>
  <c r="F72" i="2"/>
  <c r="E72" i="2"/>
  <c r="D72" i="2"/>
  <c r="J71" i="2"/>
  <c r="J70" i="2"/>
  <c r="I68" i="2"/>
  <c r="H68" i="2"/>
  <c r="G68" i="2"/>
  <c r="F68" i="2"/>
  <c r="J67" i="2"/>
  <c r="E66" i="2"/>
  <c r="E68" i="2" s="1"/>
  <c r="D66" i="2"/>
  <c r="D68" i="2" s="1"/>
  <c r="I55" i="2"/>
  <c r="H55" i="2"/>
  <c r="F55" i="2"/>
  <c r="E55" i="2"/>
  <c r="H51" i="2"/>
  <c r="G51" i="2"/>
  <c r="H50" i="2"/>
  <c r="G50" i="2" s="1"/>
  <c r="H49" i="2"/>
  <c r="G49" i="2"/>
  <c r="H48" i="2"/>
  <c r="G48" i="2" s="1"/>
  <c r="F48" i="2"/>
  <c r="H46" i="2"/>
  <c r="G46" i="2" s="1"/>
  <c r="H44" i="2"/>
  <c r="G44" i="2"/>
  <c r="H29" i="2"/>
  <c r="G29" i="2" s="1"/>
  <c r="H28" i="2"/>
  <c r="G28" i="2"/>
  <c r="H13" i="2"/>
  <c r="G13" i="2" s="1"/>
  <c r="F13" i="2"/>
  <c r="E13" i="2"/>
  <c r="H11" i="2"/>
  <c r="G11" i="2"/>
  <c r="H10" i="2"/>
  <c r="G10" i="2" s="1"/>
  <c r="F10" i="2"/>
  <c r="E10" i="2"/>
  <c r="E60" i="2" s="1"/>
  <c r="H9" i="2"/>
  <c r="G9" i="2" s="1"/>
  <c r="H8" i="2"/>
  <c r="F8" i="2"/>
  <c r="H7" i="2"/>
  <c r="H57" i="2" s="1"/>
  <c r="F7" i="2"/>
  <c r="F57" i="2" s="1"/>
  <c r="E7" i="2"/>
  <c r="E57" i="2" s="1"/>
  <c r="H6" i="2"/>
  <c r="H56" i="2" s="1"/>
  <c r="G6" i="2"/>
  <c r="F6" i="2"/>
  <c r="F56" i="2" s="1"/>
  <c r="E6" i="2"/>
  <c r="E56" i="2" s="1"/>
  <c r="H5" i="2"/>
  <c r="F5" i="2"/>
  <c r="F58" i="2" s="1"/>
  <c r="E5" i="2"/>
  <c r="E58" i="2" s="1"/>
  <c r="H4" i="2"/>
  <c r="H59" i="2" s="1"/>
  <c r="F4" i="2"/>
  <c r="F59" i="2" s="1"/>
  <c r="E4" i="2"/>
  <c r="G61" i="1"/>
  <c r="G128" i="1"/>
  <c r="G4" i="2" l="1"/>
  <c r="G5" i="2"/>
  <c r="G59" i="2"/>
  <c r="G8" i="2"/>
  <c r="E52" i="2"/>
  <c r="J72" i="2"/>
  <c r="G57" i="2"/>
  <c r="G56" i="2"/>
  <c r="F52" i="2"/>
  <c r="I13" i="2" s="1"/>
  <c r="G7" i="2"/>
  <c r="J66" i="2"/>
  <c r="J68" i="2" s="1"/>
  <c r="J73" i="2" s="1"/>
  <c r="H52" i="2"/>
  <c r="G52" i="2" s="1"/>
  <c r="H58" i="2"/>
  <c r="G58" i="2" s="1"/>
  <c r="F60" i="2"/>
  <c r="E59" i="2"/>
  <c r="E61" i="2" s="1"/>
  <c r="H60" i="2"/>
  <c r="G60" i="2" s="1"/>
  <c r="H61" i="2" l="1"/>
  <c r="I48" i="2"/>
  <c r="I8" i="2"/>
  <c r="I7" i="2"/>
  <c r="I10" i="2"/>
  <c r="I50" i="2"/>
  <c r="I46" i="2"/>
  <c r="I43" i="2"/>
  <c r="I41" i="2"/>
  <c r="I39" i="2"/>
  <c r="I37" i="2"/>
  <c r="I35" i="2"/>
  <c r="I33" i="2"/>
  <c r="I31" i="2"/>
  <c r="I29" i="2"/>
  <c r="I26" i="2"/>
  <c r="I24" i="2"/>
  <c r="I22" i="2"/>
  <c r="I20" i="2"/>
  <c r="I18" i="2"/>
  <c r="I16" i="2"/>
  <c r="I14" i="2"/>
  <c r="I6" i="2"/>
  <c r="I4" i="2"/>
  <c r="I51" i="2"/>
  <c r="I44" i="2"/>
  <c r="I11" i="2"/>
  <c r="I9" i="2"/>
  <c r="I49" i="2"/>
  <c r="I12" i="2"/>
  <c r="I47" i="2"/>
  <c r="I42" i="2"/>
  <c r="I40" i="2"/>
  <c r="I38" i="2"/>
  <c r="I36" i="2"/>
  <c r="I34" i="2"/>
  <c r="I32" i="2"/>
  <c r="I30" i="2"/>
  <c r="I27" i="2"/>
  <c r="I25" i="2"/>
  <c r="I23" i="2"/>
  <c r="I21" i="2"/>
  <c r="I19" i="2"/>
  <c r="I17" i="2"/>
  <c r="I15" i="2"/>
  <c r="I45" i="2"/>
  <c r="I28" i="2"/>
  <c r="I5" i="2"/>
  <c r="F61" i="2"/>
  <c r="I57" i="2" l="1"/>
  <c r="I56" i="2"/>
  <c r="I58" i="2"/>
  <c r="I59" i="2"/>
  <c r="G61" i="2"/>
  <c r="I52" i="2"/>
  <c r="I60" i="2"/>
  <c r="I6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D3A6CD0D-ECDC-4CAB-BCE2-CA2BAC227595}">
      <text>
        <r>
          <rPr>
            <b/>
            <sz val="9"/>
            <color indexed="81"/>
            <rFont val="Tahoma"/>
            <family val="2"/>
          </rPr>
          <t>=خمح 
User:</t>
        </r>
        <r>
          <rPr>
            <sz val="9"/>
            <color indexed="81"/>
            <rFont val="Tahoma"/>
            <family val="2"/>
          </rPr>
          <t xml:space="preserve">
ف÷0-</t>
        </r>
      </text>
    </comment>
  </commentList>
</comments>
</file>

<file path=xl/sharedStrings.xml><?xml version="1.0" encoding="utf-8"?>
<sst xmlns="http://schemas.openxmlformats.org/spreadsheetml/2006/main" count="1656" uniqueCount="296">
  <si>
    <t>شرکت پارس پرند حیان (سهامی خاص)</t>
  </si>
  <si>
    <t>ردیف</t>
  </si>
  <si>
    <t xml:space="preserve">تاریخ </t>
  </si>
  <si>
    <t xml:space="preserve">خریدار </t>
  </si>
  <si>
    <t>شماره حواله</t>
  </si>
  <si>
    <t>نوع بشکه</t>
  </si>
  <si>
    <t>قیمت واحد (ریال)</t>
  </si>
  <si>
    <t>تعداد</t>
  </si>
  <si>
    <t>1402/01/15</t>
  </si>
  <si>
    <t>نفت سپاهان</t>
  </si>
  <si>
    <t>زرد 2206</t>
  </si>
  <si>
    <t>نفت بهران</t>
  </si>
  <si>
    <t>آبی سفید 2201</t>
  </si>
  <si>
    <t>پتروشیمی کارون</t>
  </si>
  <si>
    <t>قرمز 2201</t>
  </si>
  <si>
    <t>1402/01/16</t>
  </si>
  <si>
    <t>1402/01/17</t>
  </si>
  <si>
    <t>زرد و مشکی 2201</t>
  </si>
  <si>
    <t>1402/01/18</t>
  </si>
  <si>
    <t>1402/01/19</t>
  </si>
  <si>
    <t>1402/01/20</t>
  </si>
  <si>
    <t>1402/01/21</t>
  </si>
  <si>
    <t>سیبا پلیمر البرز</t>
  </si>
  <si>
    <t>زرد آبی 2205</t>
  </si>
  <si>
    <t>1402/01/22</t>
  </si>
  <si>
    <t>آبی 2201</t>
  </si>
  <si>
    <t>1402/01/23</t>
  </si>
  <si>
    <t>1402/01/24</t>
  </si>
  <si>
    <t>شیمی سبز شینا</t>
  </si>
  <si>
    <t>سبز 2206</t>
  </si>
  <si>
    <t>1402/01/25</t>
  </si>
  <si>
    <t>زرد 2201</t>
  </si>
  <si>
    <t>1402/01/26</t>
  </si>
  <si>
    <t>مشکی 2201</t>
  </si>
  <si>
    <t>1402/01/27</t>
  </si>
  <si>
    <t>1402/01/28</t>
  </si>
  <si>
    <t>1402/01/29</t>
  </si>
  <si>
    <t>شیمی بافت</t>
  </si>
  <si>
    <t>1402/01/30</t>
  </si>
  <si>
    <t>اصفهان کوپلیمر</t>
  </si>
  <si>
    <t>آبی 2202</t>
  </si>
  <si>
    <t>شیمی نفت پاسارگاد</t>
  </si>
  <si>
    <t>1402/01/31</t>
  </si>
  <si>
    <t>جمع کل بشکه ارسالی</t>
  </si>
  <si>
    <t>بشکه ارسالی از 1402/01/01 الی  1402/02/15</t>
  </si>
  <si>
    <t xml:space="preserve">بشکه ارسالی تا تاریخ   1401/01/31 </t>
  </si>
  <si>
    <t>1402/02/01</t>
  </si>
  <si>
    <t>1402/02/04</t>
  </si>
  <si>
    <t>ماندانا شیمی</t>
  </si>
  <si>
    <t>آبی 1201</t>
  </si>
  <si>
    <t>نفت ایرانول</t>
  </si>
  <si>
    <t>نارنجی 2201</t>
  </si>
  <si>
    <t>1402/02/05</t>
  </si>
  <si>
    <t>نارنجی 2200</t>
  </si>
  <si>
    <t>رزین دریک</t>
  </si>
  <si>
    <t>1402/02/06</t>
  </si>
  <si>
    <t>1402/02/07</t>
  </si>
  <si>
    <t>1402/02/08</t>
  </si>
  <si>
    <t>1402/02/09</t>
  </si>
  <si>
    <t>روغن حافظ موتور</t>
  </si>
  <si>
    <t>1402/02/10</t>
  </si>
  <si>
    <t>1402/02/11</t>
  </si>
  <si>
    <t>1402/02/12</t>
  </si>
  <si>
    <t>آبنوس روانکاران آسیا</t>
  </si>
  <si>
    <t>مواد شیمیایی ایران</t>
  </si>
  <si>
    <t>دارا فریدنی</t>
  </si>
  <si>
    <t>1402/02/13</t>
  </si>
  <si>
    <t>مسعود خطیبی</t>
  </si>
  <si>
    <t>آبی 2206</t>
  </si>
  <si>
    <t>1402/02/14</t>
  </si>
  <si>
    <t>ابراهیم اسماعیلی</t>
  </si>
  <si>
    <t>1402/02/15</t>
  </si>
  <si>
    <t>طوسی 2206</t>
  </si>
  <si>
    <t>بشکه ارسالی از 1402/01/01 الی  1402/01/31</t>
  </si>
  <si>
    <t xml:space="preserve">لیست فروش محصولات از ابتدای سال تا تاریخ 1402/02/15 </t>
  </si>
  <si>
    <t>نام شرکت</t>
  </si>
  <si>
    <t>تعداد ماه جاری</t>
  </si>
  <si>
    <t>تعداد سالیانه</t>
  </si>
  <si>
    <t>میانگین قیمت</t>
  </si>
  <si>
    <t>فروش ناخالص</t>
  </si>
  <si>
    <t>درصد</t>
  </si>
  <si>
    <t xml:space="preserve">پتروشیمی کارون </t>
  </si>
  <si>
    <t xml:space="preserve">شرکت نفت ایرانول </t>
  </si>
  <si>
    <t>شرکت نفت بهران</t>
  </si>
  <si>
    <t xml:space="preserve">شرکت نفت سپاهان </t>
  </si>
  <si>
    <t>شرکت شیمی بافت</t>
  </si>
  <si>
    <t>شرکت کوپلیمر اصفهان</t>
  </si>
  <si>
    <t xml:space="preserve">شیمی سبز شینا </t>
  </si>
  <si>
    <t>حافظ موتور سپاهان</t>
  </si>
  <si>
    <t>مهرتاش سپاهان</t>
  </si>
  <si>
    <t>شرکت فرشید شیمی</t>
  </si>
  <si>
    <t>رنگ شایان</t>
  </si>
  <si>
    <t>جذب ستاره</t>
  </si>
  <si>
    <t>مانا رزین کیهان</t>
  </si>
  <si>
    <t>قطران ذغالسنگ</t>
  </si>
  <si>
    <t>به چیلیک متین(روان کاران)</t>
  </si>
  <si>
    <t>به چیلیک متین(نفت سپاهان)</t>
  </si>
  <si>
    <t>محمد سبک تکین</t>
  </si>
  <si>
    <t>پارسین کیان وزین</t>
  </si>
  <si>
    <t>پترو اکسیر آسیا</t>
  </si>
  <si>
    <t>صنایع شیمایی اصفهان</t>
  </si>
  <si>
    <t>یکتا فلز الماس</t>
  </si>
  <si>
    <t>افزون روان فرآیند</t>
  </si>
  <si>
    <t>سیلیکات گستر اصفهان</t>
  </si>
  <si>
    <t xml:space="preserve">مواد شیمیایی ایران </t>
  </si>
  <si>
    <t>شرکت دریا رنگ</t>
  </si>
  <si>
    <t>آیسان نیک اندیش</t>
  </si>
  <si>
    <t>روانکاران نوین اندیش پایدار</t>
  </si>
  <si>
    <t>مجید بابایی</t>
  </si>
  <si>
    <t>عبدالرضا قرقانی</t>
  </si>
  <si>
    <t>تولید انرژی گستر قشم</t>
  </si>
  <si>
    <t>زهره فاطمی نژاد</t>
  </si>
  <si>
    <t>شرکت ورزیران</t>
  </si>
  <si>
    <t>آرمان شیمی زاینده رود</t>
  </si>
  <si>
    <t>تولیدی و شیمیایی ایران شرکاء</t>
  </si>
  <si>
    <t>فردین عباس زاده</t>
  </si>
  <si>
    <t>پلی رزین</t>
  </si>
  <si>
    <t>رضا محمدی تودشکی</t>
  </si>
  <si>
    <t>نوین روان سازان خلیج فارس</t>
  </si>
  <si>
    <t>کیمیاگران فعال اصفهان</t>
  </si>
  <si>
    <t>نفت ری سان</t>
  </si>
  <si>
    <t xml:space="preserve">شرکت ماندانا شیمی </t>
  </si>
  <si>
    <t>جمع کل فروش محصولات</t>
  </si>
  <si>
    <t>شرکت صنایع شیمیایی اصفهان-خرید از به چیلیک</t>
  </si>
  <si>
    <t>شرکت پتروشیمی کارون-خرید از به چیلیک</t>
  </si>
  <si>
    <t>جمع خرید بشکه از به چیلیک</t>
  </si>
  <si>
    <t>شرکت نفت سپاهان</t>
  </si>
  <si>
    <t>شرکت نفت ایرانول</t>
  </si>
  <si>
    <t>شرکت پتروشیمی کارون</t>
  </si>
  <si>
    <t>متفرقه</t>
  </si>
  <si>
    <t>جمع کل خالص فروش محصولات</t>
  </si>
  <si>
    <t>لیست فروش محصولات از ابتدای سال تا تاریخ 1402/02/15 به تفکیک هرماه</t>
  </si>
  <si>
    <t xml:space="preserve">عنوان </t>
  </si>
  <si>
    <t xml:space="preserve">فروردین </t>
  </si>
  <si>
    <t xml:space="preserve">اردیبهشت </t>
  </si>
  <si>
    <t>خرداد</t>
  </si>
  <si>
    <t xml:space="preserve">تیر </t>
  </si>
  <si>
    <t xml:space="preserve">مرداد </t>
  </si>
  <si>
    <t>شهریور</t>
  </si>
  <si>
    <t xml:space="preserve">جمع </t>
  </si>
  <si>
    <t>شش ماه اول سال</t>
  </si>
  <si>
    <t>فروش بشکه</t>
  </si>
  <si>
    <t xml:space="preserve">خرید بشکه </t>
  </si>
  <si>
    <t>خالص</t>
  </si>
  <si>
    <t>مهر</t>
  </si>
  <si>
    <t>آبان</t>
  </si>
  <si>
    <t>آذر</t>
  </si>
  <si>
    <t>دی</t>
  </si>
  <si>
    <t>بهمن</t>
  </si>
  <si>
    <t>اسفند</t>
  </si>
  <si>
    <t>شش ماه دوم سال</t>
  </si>
  <si>
    <t xml:space="preserve">جمع کل بشکه های ارسالی </t>
  </si>
  <si>
    <t>شرکت پارس پرند حیان</t>
  </si>
  <si>
    <t>گزارش صورت مطالبات 1402/02/16</t>
  </si>
  <si>
    <t>جمع واریزی</t>
  </si>
  <si>
    <t xml:space="preserve">ارسال بشکه به شرکت نفت سپاهان </t>
  </si>
  <si>
    <t>پیش دریافت محصول بشکه زرد2206</t>
  </si>
  <si>
    <t>فاکتور شده</t>
  </si>
  <si>
    <t>قرارداد (22،400) عددی - ارسال (12699) بشکه زرد 2206</t>
  </si>
  <si>
    <t>فاکتور نشده</t>
  </si>
  <si>
    <t>قرارداد (22،400) عددی - ارسال (0) بشکه زرد 2206</t>
  </si>
  <si>
    <t xml:space="preserve">مانده مستهلک نشده پیش دریافت </t>
  </si>
  <si>
    <t>پیش دریافت محصول بشکه زردومشکی2201</t>
  </si>
  <si>
    <t>قرارداد (70،704) عددی -ارسال (64689) بشکه زردومشکی 2201</t>
  </si>
  <si>
    <t>قرارداد (70،704) عددی -ارسال (400) بشکه زردومشکی 2201</t>
  </si>
  <si>
    <t>شرکت نفت سپاهان (*قرارداد 70704 عددی*-*مانده 4014 *) -مانده طلب بشکه  2201زردومشکی  (2400عدد بشکه )</t>
  </si>
  <si>
    <t>شرکت نفت سپاهان (*قرارداد 22،400 عددی*-*مانده8104 *)-مانده طلب  بشکه 2206 زرد    ( 1997عدد بشکه )</t>
  </si>
  <si>
    <t xml:space="preserve">شرکت نفت سپاهان (قرارداد 70704 عددی ) -مانده طلب بشکه 2201زردومشکی (400عدد بشکه ) </t>
  </si>
  <si>
    <t>شرکت نفت سپاهان (قرارداد 22،400 عددی)-مانده طلب  بشکه 2206 زرد ( 399عدد بشکه )</t>
  </si>
  <si>
    <t xml:space="preserve">طلب سپرده بیمه </t>
  </si>
  <si>
    <t xml:space="preserve">مانده  طلب شرکت پارس پرند حیان </t>
  </si>
  <si>
    <t>ارسال بشکه به شرکت شیمی بافت</t>
  </si>
  <si>
    <t>شرکت شیمی بافت  ( ارسال 800 عدد بشکه آبی 2201 ارسالی)</t>
  </si>
  <si>
    <t xml:space="preserve">مبالغ واریز شده </t>
  </si>
  <si>
    <t xml:space="preserve">مانده طلب حساب شرکت پارس پرند حیان </t>
  </si>
  <si>
    <t>مانده طلب شرکت پارس پرند حیان</t>
  </si>
  <si>
    <t>ارسال بشکه به شرکت نفت ایرانول</t>
  </si>
  <si>
    <t>قراداد 60،000 عددی-شرکت نفت ایرانول ( ارسال 42،400 عدد بشکه ارسالی)</t>
  </si>
  <si>
    <t>قراداد 60،000 عددی-شرکت نفت ایرانول ( ارسال 0 عدد بشکه ارسالی)</t>
  </si>
  <si>
    <t>مانده طلب حسن انجام کار</t>
  </si>
  <si>
    <t xml:space="preserve">مانده طلب سپرده بیمه </t>
  </si>
  <si>
    <t>ارسال بشکه به شرکت به چیلیک متین(نفت سپاهان)</t>
  </si>
  <si>
    <t xml:space="preserve">(شرکت به چیلیک متین)(ارسال 8797 عدد بشکه ارسالی) </t>
  </si>
  <si>
    <t xml:space="preserve">(شرکت به چیلیک متین)(ارسال 0عدد بشکه ارسالی) </t>
  </si>
  <si>
    <t xml:space="preserve"> سپرده بیمه</t>
  </si>
  <si>
    <t>ارسال بشکه به شرکت شیمی سبز شینا</t>
  </si>
  <si>
    <t xml:space="preserve">شرکت شیمی سبز شینا (ارسال 336عدد بشکه ارسالی) </t>
  </si>
  <si>
    <t>ارسال بشکه به شرکت نفت بهران-قرارداد 150،000 عددی آبی سفید</t>
  </si>
  <si>
    <t>فاکتور شده-آبی سفید</t>
  </si>
  <si>
    <t>قرارداد150،000 عددی-طلب فاکتور شده پارت جدید(23597 عدد بشکه ارسالی)</t>
  </si>
  <si>
    <t>فاکتور نشده-آبی سفید</t>
  </si>
  <si>
    <t>قرارداد150،000 عددی-طلب فاکتور شده پارت جدید(800 عدد بشکه ارسالی)</t>
  </si>
  <si>
    <t>فروش شرکت پارس پرند حیان از قراردادآبی سفید</t>
  </si>
  <si>
    <t>ارسال بشکه به شرکت نفت بهران-قرارداد 10،000 عددی نارنجی</t>
  </si>
  <si>
    <t>فاکتور شده-نارنجی</t>
  </si>
  <si>
    <t>قرارداد 10،000 عددی-طلب فاکتور شده پارت جدید(3600 عدد بشکه ارسالی)</t>
  </si>
  <si>
    <t>فاکتور نشده-نارنجی</t>
  </si>
  <si>
    <t>قرارداد 10،000 عددی-طلب فاکتور شده پارت جدید(0 عدد بشکه ارسالی)</t>
  </si>
  <si>
    <t>فروش شرکت پارس پرند حیان از قرارداد نارنجی</t>
  </si>
  <si>
    <t>جمع کل مطالبات نفت بهران از هر دو قرارداد</t>
  </si>
  <si>
    <t>دریافت علی الحساب</t>
  </si>
  <si>
    <t xml:space="preserve">مانده طلب شرکت پارس پرند حیان </t>
  </si>
  <si>
    <t>فاکتورشده</t>
  </si>
  <si>
    <t>ارسال بشکه به پتروشیمی کارون</t>
  </si>
  <si>
    <t>قرارداد 100،000 عددی -شرکت پتروشیمی کارون  ( ارسال 33397 عدد بشکه ارسالی)</t>
  </si>
  <si>
    <t>قرارداد 100،000 عددی -شرکت پتروشیمی کارون  ( ارسال 1200 عدد بشکه ارسالی)</t>
  </si>
  <si>
    <t>مانده  کل مطالبات از شرکتها و مشتریان متفرقه</t>
  </si>
  <si>
    <t>کسر خرید بشکه از به چیلیک متین</t>
  </si>
  <si>
    <t>خالص مطالبات شرکت پارس پرند حیان</t>
  </si>
  <si>
    <t>مطالبات قابل وصول مورخ 1402/02/16</t>
  </si>
  <si>
    <t>جمع کل قابل وصول سپاهان</t>
  </si>
  <si>
    <t>جمع کل قابل وصول ایرانول</t>
  </si>
  <si>
    <t xml:space="preserve">شرکت نفت بهران </t>
  </si>
  <si>
    <t>جمع کل قابل وصول بهران</t>
  </si>
  <si>
    <t>شرکت شیمی سبز شینا</t>
  </si>
  <si>
    <t>جمع کل قابل وصول فرشید شیمی</t>
  </si>
  <si>
    <t xml:space="preserve">جمع کل قابل وصول شرکت شیمی بافت </t>
  </si>
  <si>
    <t>جمع کل قابل وصول پتروشیمی کارون</t>
  </si>
  <si>
    <t>شرکت پتروشیمی کارون (خرید ازبه چیلیک)</t>
  </si>
  <si>
    <t>جمع کل قابل پرداخت به به چیلیک(پتروشیمی کارون)</t>
  </si>
  <si>
    <t>مانارزین کیهان</t>
  </si>
  <si>
    <t>جمع کل قابل وصول مانارزین کیهان</t>
  </si>
  <si>
    <t>شرکت تولیدی مواد شیمیایی ایران</t>
  </si>
  <si>
    <t>شرکت پلی رزین</t>
  </si>
  <si>
    <t>جمع کل قابل وصول پلی رزین</t>
  </si>
  <si>
    <t>شرکت صنایع شیمیایی اصفهان</t>
  </si>
  <si>
    <t>جمع کل قابل وصول صنایع شیمایی اصفهان</t>
  </si>
  <si>
    <t>شرکت شیمی نفت پاسارگاد</t>
  </si>
  <si>
    <t>جمع کل قابل وصول شیمی نفت پاسارگاد</t>
  </si>
  <si>
    <t>شرکت به چیلیک متین(روان کاران)</t>
  </si>
  <si>
    <t>جمع کل قابل وصول به چیلیک متین(روان کاران)</t>
  </si>
  <si>
    <t>شرکت به چیلیک متین(نفت سپاهان)</t>
  </si>
  <si>
    <t>جمع کل قابل وصول به چیلیک متین(نفت سپاهان)</t>
  </si>
  <si>
    <t>جمع کل قابل وصول صنایع شیمیایی اصفهان</t>
  </si>
  <si>
    <t>ری سان</t>
  </si>
  <si>
    <t>جمع کل قابل وصول ری سان</t>
  </si>
  <si>
    <t>فاکتورنشده</t>
  </si>
  <si>
    <t>جمع کل قابل وصول روانکاران نوین اندیش پایدار</t>
  </si>
  <si>
    <t>جمع کل قابل وصول سیبا پلیمر البرز</t>
  </si>
  <si>
    <t>جمع کل قابل وصول</t>
  </si>
  <si>
    <t>خالص قابل وصول شرکت پارس پرند</t>
  </si>
  <si>
    <t>2023/4/4</t>
  </si>
  <si>
    <t>2023/4/5</t>
  </si>
  <si>
    <t>2023/4/6</t>
  </si>
  <si>
    <t>2023/4/7</t>
  </si>
  <si>
    <t>2023/4/8</t>
  </si>
  <si>
    <t>2023/4/9</t>
  </si>
  <si>
    <t>2023/4/10</t>
  </si>
  <si>
    <t>2023/4/11</t>
  </si>
  <si>
    <t>2023/4/12</t>
  </si>
  <si>
    <t>2023/4/13</t>
  </si>
  <si>
    <t>2023/4/14</t>
  </si>
  <si>
    <t>2023/4/15</t>
  </si>
  <si>
    <t>2023/4/16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</si>
  <si>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</si>
  <si>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</si>
  <si>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</si>
  <si>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</si>
  <si>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</si>
  <si>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</si>
  <si>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</si>
  <si>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</si>
  <si>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</si>
  <si>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</si>
  <si>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2023/4/29</t>
  </si>
  <si>
    <t>2023/4/30</t>
  </si>
  <si>
    <t>2023/5/1</t>
  </si>
  <si>
    <t>2023/5/2</t>
  </si>
  <si>
    <t>2023/5/3</t>
  </si>
  <si>
    <t>2023/5/4</t>
  </si>
  <si>
    <t>2023/5/5</t>
  </si>
  <si>
    <t>Row Labels</t>
  </si>
  <si>
    <t>Grand Total</t>
  </si>
  <si>
    <t>تاریخ شمسی</t>
  </si>
  <si>
    <t>شرح گزارش</t>
  </si>
  <si>
    <t>Sum of قیمت واحد (ریال)</t>
  </si>
  <si>
    <t>customer_id</t>
  </si>
  <si>
    <t>report_id</t>
  </si>
  <si>
    <t>Sum of تعداد</t>
  </si>
  <si>
    <t>پرداخت مبلغ 120633333</t>
  </si>
  <si>
    <t>پرداخت مبلغ 1412180000</t>
  </si>
  <si>
    <t>پرداخت مبلغ 12008406667</t>
  </si>
  <si>
    <t>پرداخت مبلغ 146608000000</t>
  </si>
  <si>
    <t>پرداخت مبلغ 81666667</t>
  </si>
  <si>
    <t>پرداخت مبلغ 91350000</t>
  </si>
  <si>
    <t>پرداخت مبلغ 756000000</t>
  </si>
  <si>
    <t>پرداخت مبلغ 2460966667</t>
  </si>
  <si>
    <t>پرداخت مبلغ 4872000000</t>
  </si>
  <si>
    <t>پرداخت مبلغ 2540160000</t>
  </si>
  <si>
    <t>پرداخت مبلغ 503533333</t>
  </si>
  <si>
    <t>پرداخت مبلغ 303333333</t>
  </si>
  <si>
    <t>پرداخت مبلغ 106166667</t>
  </si>
  <si>
    <t>پرداخت مبلغ 91000000</t>
  </si>
  <si>
    <t>پرداخت مبلغ 4853333333</t>
  </si>
  <si>
    <t>پرداخت مبلغ 48151600000</t>
  </si>
  <si>
    <t>پرداخت مبلغ 27503046667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</si>
</sst>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-_ ;_ * #,##0.00\-_ ;_ * &quot;-&quot;??_-_ ;_ @_ "/>
    <numFmt numFmtId="164" formatCode="[$-1020000]B1d\ mmmm\ yyyy;@"/>
    <numFmt numFmtId="165" formatCode="#,##0_-"/>
    <numFmt numFmtId="166" formatCode="_-* #,##0.00_-;_-* #,##0.00\-;_-* &quot;-&quot;??_-;_-@_-"/>
    <numFmt numFmtId="167" formatCode="0.0%"/>
    <numFmt numFmtId="168" formatCode="_ * #,##0_-_ ;_ * #,##0\-_ ;_ * &quot;-&quot;??_-_ ;_ @_ "/>
    <numFmt numFmtId="169" formatCode="#,##0;\(#,##0\)"/>
    <numFmt numFmtId="170" formatCode="yyyy\-mm\-dd;@"/>
    <numFmt numFmtId="174" formatCode="0_ ;\-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indexed="8"/>
      <name val="B Titr"/>
      <charset val="178"/>
    </font>
    <font>
      <b/>
      <sz val="10"/>
      <color indexed="8"/>
      <name val="B Titr"/>
      <charset val="178"/>
    </font>
    <font>
      <sz val="10"/>
      <color indexed="8"/>
      <name val="B Titr"/>
      <charset val="178"/>
    </font>
    <font>
      <sz val="10"/>
      <color theme="1"/>
      <name val="B Titr"/>
      <charset val="178"/>
    </font>
    <font>
      <sz val="11"/>
      <name val="B Lotus"/>
      <charset val="178"/>
    </font>
    <font>
      <sz val="11"/>
      <color theme="1"/>
      <name val="B Lotus"/>
      <charset val="178"/>
    </font>
    <font>
      <b/>
      <sz val="11"/>
      <color indexed="8"/>
      <name val="B Lotus"/>
      <charset val="178"/>
    </font>
    <font>
      <sz val="12"/>
      <color indexed="8"/>
      <name val="B Lotus"/>
      <charset val="178"/>
    </font>
    <font>
      <b/>
      <sz val="10"/>
      <color theme="1"/>
      <name val="B Titr"/>
      <charset val="178"/>
    </font>
    <font>
      <b/>
      <sz val="14"/>
      <color theme="1"/>
      <name val="B Lotus"/>
      <charset val="178"/>
    </font>
    <font>
      <b/>
      <sz val="12"/>
      <color theme="1"/>
      <name val="B Lotus"/>
      <charset val="178"/>
    </font>
    <font>
      <sz val="12"/>
      <color theme="1"/>
      <name val="B Lotus"/>
      <charset val="178"/>
    </font>
    <font>
      <b/>
      <sz val="11"/>
      <color theme="1"/>
      <name val="Calibri"/>
      <family val="2"/>
      <scheme val="minor"/>
    </font>
    <font>
      <b/>
      <sz val="11"/>
      <color theme="1"/>
      <name val="B Titr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sz val="13"/>
      <color theme="1"/>
      <name val="B Titr"/>
      <charset val="178"/>
    </font>
    <font>
      <b/>
      <sz val="18"/>
      <color theme="1"/>
      <name val="B Zar"/>
      <charset val="178"/>
    </font>
    <font>
      <sz val="20"/>
      <color theme="1"/>
      <name val="B Zar"/>
      <charset val="178"/>
    </font>
    <font>
      <sz val="18"/>
      <color theme="1"/>
      <name val="B Zar"/>
      <charset val="178"/>
    </font>
    <font>
      <b/>
      <sz val="18"/>
      <color theme="1"/>
      <name val="B Nazanin"/>
      <charset val="178"/>
    </font>
    <font>
      <sz val="16"/>
      <color theme="1"/>
      <name val="B Zar"/>
      <charset val="178"/>
    </font>
    <font>
      <b/>
      <sz val="16"/>
      <color theme="1"/>
      <name val="B Nazanin"/>
      <charset val="178"/>
    </font>
    <font>
      <b/>
      <sz val="16"/>
      <color theme="1"/>
      <name val="B Zar"/>
      <charset val="178"/>
    </font>
    <font>
      <sz val="14"/>
      <color theme="1"/>
      <name val="B Titr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4"/>
      <color theme="1"/>
      <name val="B Titr"/>
      <charset val="178"/>
    </font>
    <font>
      <sz val="14"/>
      <color theme="1"/>
      <name val="B Zar"/>
      <charset val="178"/>
    </font>
    <font>
      <sz val="12"/>
      <color theme="1"/>
      <name val="B Titr"/>
      <charset val="178"/>
    </font>
    <font>
      <b/>
      <sz val="12"/>
      <color theme="1"/>
      <name val="B Zar"/>
      <charset val="178"/>
    </font>
    <font>
      <b/>
      <sz val="14"/>
      <color theme="1"/>
      <name val="B Zar"/>
      <charset val="178"/>
    </font>
    <font>
      <b/>
      <sz val="13"/>
      <color theme="1"/>
      <name val="B Zar"/>
      <charset val="178"/>
    </font>
    <font>
      <b/>
      <sz val="16"/>
      <color theme="1"/>
      <name val="B Titr"/>
      <charset val="178"/>
    </font>
    <font>
      <sz val="16"/>
      <color theme="1"/>
      <name val="B Titr"/>
      <charset val="178"/>
    </font>
    <font>
      <b/>
      <sz val="18"/>
      <color theme="1"/>
      <name val="B Titr"/>
      <charset val="178"/>
    </font>
    <font>
      <sz val="18"/>
      <color theme="1"/>
      <name val="B Titr"/>
      <charset val="178"/>
    </font>
    <font>
      <sz val="16"/>
      <color theme="1"/>
      <name val="Calibri"/>
      <family val="2"/>
      <charset val="178"/>
      <scheme val="minor"/>
    </font>
    <font>
      <b/>
      <sz val="13"/>
      <color theme="1"/>
      <name val="B Titr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37">
    <xf numFmtId="0" fontId="0" fillId="0" borderId="0" xfId="0"/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2" borderId="11" xfId="0" applyNumberFormat="1" applyFont="1" applyFill="1" applyBorder="1" applyAlignment="1">
      <alignment horizontal="center" vertical="center"/>
    </xf>
    <xf numFmtId="165" fontId="11" fillId="2" borderId="15" xfId="0" applyNumberFormat="1" applyFont="1" applyFill="1" applyBorder="1" applyAlignment="1">
      <alignment horizontal="center" vertical="center"/>
    </xf>
    <xf numFmtId="0" fontId="0" fillId="0" borderId="16" xfId="0" applyBorder="1"/>
    <xf numFmtId="3" fontId="13" fillId="2" borderId="4" xfId="0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3" fontId="13" fillId="2" borderId="5" xfId="3" applyNumberFormat="1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14" fillId="3" borderId="5" xfId="0" applyNumberFormat="1" applyFont="1" applyFill="1" applyBorder="1" applyAlignment="1">
      <alignment horizontal="center"/>
    </xf>
    <xf numFmtId="3" fontId="14" fillId="0" borderId="5" xfId="0" applyNumberFormat="1" applyFont="1" applyBorder="1" applyAlignment="1">
      <alignment horizontal="center"/>
    </xf>
    <xf numFmtId="3" fontId="14" fillId="0" borderId="5" xfId="3" applyNumberFormat="1" applyFont="1" applyFill="1" applyBorder="1" applyAlignment="1">
      <alignment horizontal="center"/>
    </xf>
    <xf numFmtId="10" fontId="14" fillId="0" borderId="6" xfId="2" applyNumberFormat="1" applyFont="1" applyBorder="1" applyAlignment="1">
      <alignment horizontal="center"/>
    </xf>
    <xf numFmtId="10" fontId="14" fillId="3" borderId="6" xfId="2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9" fontId="13" fillId="2" borderId="6" xfId="2" applyFont="1" applyFill="1" applyBorder="1" applyAlignment="1">
      <alignment horizontal="center"/>
    </xf>
    <xf numFmtId="3" fontId="14" fillId="0" borderId="5" xfId="3" applyNumberFormat="1" applyFont="1" applyBorder="1" applyAlignment="1">
      <alignment horizontal="center"/>
    </xf>
    <xf numFmtId="167" fontId="14" fillId="0" borderId="6" xfId="2" applyNumberFormat="1" applyFont="1" applyBorder="1" applyAlignment="1">
      <alignment horizontal="center"/>
    </xf>
    <xf numFmtId="3" fontId="13" fillId="2" borderId="10" xfId="0" applyNumberFormat="1" applyFont="1" applyFill="1" applyBorder="1" applyAlignment="1">
      <alignment horizontal="center"/>
    </xf>
    <xf numFmtId="3" fontId="13" fillId="2" borderId="10" xfId="3" applyNumberFormat="1" applyFont="1" applyFill="1" applyBorder="1" applyAlignment="1">
      <alignment horizontal="center"/>
    </xf>
    <xf numFmtId="9" fontId="13" fillId="2" borderId="11" xfId="2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168" fontId="17" fillId="0" borderId="5" xfId="1" applyNumberFormat="1" applyFont="1" applyBorder="1" applyAlignment="1">
      <alignment horizontal="center"/>
    </xf>
    <xf numFmtId="168" fontId="18" fillId="0" borderId="5" xfId="1" applyNumberFormat="1" applyFont="1" applyBorder="1" applyAlignment="1">
      <alignment horizontal="center"/>
    </xf>
    <xf numFmtId="168" fontId="17" fillId="0" borderId="6" xfId="1" applyNumberFormat="1" applyFont="1" applyBorder="1" applyAlignment="1">
      <alignment horizontal="center"/>
    </xf>
    <xf numFmtId="168" fontId="17" fillId="2" borderId="5" xfId="1" applyNumberFormat="1" applyFont="1" applyFill="1" applyBorder="1" applyAlignment="1">
      <alignment horizontal="center"/>
    </xf>
    <xf numFmtId="168" fontId="18" fillId="2" borderId="5" xfId="1" applyNumberFormat="1" applyFont="1" applyFill="1" applyBorder="1" applyAlignment="1">
      <alignment horizontal="center"/>
    </xf>
    <xf numFmtId="168" fontId="17" fillId="2" borderId="6" xfId="1" applyNumberFormat="1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168" fontId="6" fillId="2" borderId="11" xfId="2" applyNumberFormat="1" applyFont="1" applyFill="1" applyBorder="1"/>
    <xf numFmtId="169" fontId="22" fillId="3" borderId="5" xfId="1" applyNumberFormat="1" applyFont="1" applyFill="1" applyBorder="1" applyAlignment="1">
      <alignment horizontal="center"/>
    </xf>
    <xf numFmtId="169" fontId="22" fillId="3" borderId="6" xfId="1" applyNumberFormat="1" applyFont="1" applyFill="1" applyBorder="1" applyAlignment="1">
      <alignment horizontal="center"/>
    </xf>
    <xf numFmtId="169" fontId="23" fillId="2" borderId="6" xfId="1" applyNumberFormat="1" applyFont="1" applyFill="1" applyBorder="1" applyAlignment="1">
      <alignment horizontal="center" vertical="center"/>
    </xf>
    <xf numFmtId="169" fontId="27" fillId="3" borderId="6" xfId="1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69" fontId="29" fillId="3" borderId="6" xfId="1" applyNumberFormat="1" applyFont="1" applyFill="1" applyBorder="1" applyAlignment="1">
      <alignment horizontal="center" vertical="center"/>
    </xf>
    <xf numFmtId="169" fontId="27" fillId="2" borderId="6" xfId="1" applyNumberFormat="1" applyFont="1" applyFill="1" applyBorder="1" applyAlignment="1">
      <alignment horizontal="center" vertical="center"/>
    </xf>
    <xf numFmtId="169" fontId="31" fillId="0" borderId="6" xfId="1" applyNumberFormat="1" applyFont="1" applyFill="1" applyBorder="1" applyAlignment="1">
      <alignment horizontal="center" vertical="center"/>
    </xf>
    <xf numFmtId="169" fontId="24" fillId="0" borderId="6" xfId="1" applyNumberFormat="1" applyFont="1" applyFill="1" applyBorder="1" applyAlignment="1">
      <alignment horizontal="center" vertical="center"/>
    </xf>
    <xf numFmtId="169" fontId="24" fillId="0" borderId="6" xfId="1" applyNumberFormat="1" applyFont="1" applyFill="1" applyBorder="1" applyAlignment="1">
      <alignment horizontal="center"/>
    </xf>
    <xf numFmtId="169" fontId="32" fillId="0" borderId="4" xfId="1" applyNumberFormat="1" applyFont="1" applyFill="1" applyBorder="1" applyAlignment="1">
      <alignment horizontal="center" vertical="center"/>
    </xf>
    <xf numFmtId="169" fontId="31" fillId="0" borderId="6" xfId="1" applyNumberFormat="1" applyFont="1" applyFill="1" applyBorder="1" applyAlignment="1">
      <alignment horizontal="center" vertical="center" wrapText="1"/>
    </xf>
    <xf numFmtId="169" fontId="27" fillId="2" borderId="8" xfId="1" applyNumberFormat="1" applyFont="1" applyFill="1" applyBorder="1" applyAlignment="1">
      <alignment horizontal="center" vertical="center"/>
    </xf>
    <xf numFmtId="169" fontId="31" fillId="3" borderId="6" xfId="1" applyNumberFormat="1" applyFont="1" applyFill="1" applyBorder="1" applyAlignment="1">
      <alignment horizontal="center" vertical="center" wrapText="1"/>
    </xf>
    <xf numFmtId="169" fontId="32" fillId="3" borderId="4" xfId="1" applyNumberFormat="1" applyFont="1" applyFill="1" applyBorder="1" applyAlignment="1">
      <alignment horizontal="center" vertical="center"/>
    </xf>
    <xf numFmtId="169" fontId="27" fillId="2" borderId="11" xfId="1" applyNumberFormat="1" applyFont="1" applyFill="1" applyBorder="1" applyAlignment="1">
      <alignment horizontal="center" vertical="center"/>
    </xf>
    <xf numFmtId="169" fontId="34" fillId="3" borderId="4" xfId="1" applyNumberFormat="1" applyFont="1" applyFill="1" applyBorder="1" applyAlignment="1">
      <alignment horizontal="center"/>
    </xf>
    <xf numFmtId="169" fontId="31" fillId="3" borderId="6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168" fontId="24" fillId="3" borderId="6" xfId="0" applyNumberFormat="1" applyFont="1" applyFill="1" applyBorder="1" applyAlignment="1">
      <alignment horizontal="center" vertical="center"/>
    </xf>
    <xf numFmtId="168" fontId="24" fillId="3" borderId="36" xfId="0" applyNumberFormat="1" applyFont="1" applyFill="1" applyBorder="1" applyAlignment="1">
      <alignment horizontal="center" vertical="center"/>
    </xf>
    <xf numFmtId="168" fontId="24" fillId="3" borderId="8" xfId="0" applyNumberFormat="1" applyFont="1" applyFill="1" applyBorder="1" applyAlignment="1">
      <alignment horizontal="center" vertical="center"/>
    </xf>
    <xf numFmtId="168" fontId="24" fillId="3" borderId="6" xfId="1" applyNumberFormat="1" applyFont="1" applyFill="1" applyBorder="1" applyAlignment="1">
      <alignment horizontal="center" vertical="center"/>
    </xf>
    <xf numFmtId="169" fontId="31" fillId="3" borderId="6" xfId="1" applyNumberFormat="1" applyFont="1" applyFill="1" applyBorder="1" applyAlignment="1">
      <alignment horizontal="center"/>
    </xf>
    <xf numFmtId="169" fontId="27" fillId="2" borderId="11" xfId="1" applyNumberFormat="1" applyFont="1" applyFill="1" applyBorder="1" applyAlignment="1">
      <alignment horizontal="center"/>
    </xf>
    <xf numFmtId="168" fontId="37" fillId="4" borderId="36" xfId="1" applyNumberFormat="1" applyFont="1" applyFill="1" applyBorder="1" applyAlignment="1">
      <alignment horizontal="center" vertical="center"/>
    </xf>
    <xf numFmtId="168" fontId="37" fillId="2" borderId="6" xfId="1" applyNumberFormat="1" applyFont="1" applyFill="1" applyBorder="1" applyAlignment="1">
      <alignment horizontal="center" vertical="center"/>
    </xf>
    <xf numFmtId="168" fontId="39" fillId="2" borderId="11" xfId="1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9" fontId="31" fillId="3" borderId="37" xfId="1" applyNumberFormat="1" applyFont="1" applyFill="1" applyBorder="1" applyAlignment="1">
      <alignment horizontal="center"/>
    </xf>
    <xf numFmtId="169" fontId="24" fillId="3" borderId="37" xfId="1" applyNumberFormat="1" applyFont="1" applyFill="1" applyBorder="1" applyAlignment="1">
      <alignment horizontal="center"/>
    </xf>
    <xf numFmtId="169" fontId="24" fillId="3" borderId="6" xfId="1" applyNumberFormat="1" applyFont="1" applyFill="1" applyBorder="1" applyAlignment="1">
      <alignment horizontal="center"/>
    </xf>
    <xf numFmtId="0" fontId="40" fillId="0" borderId="0" xfId="0" applyFont="1"/>
    <xf numFmtId="168" fontId="41" fillId="3" borderId="6" xfId="1" applyNumberFormat="1" applyFont="1" applyFill="1" applyBorder="1" applyAlignment="1">
      <alignment vertical="center"/>
    </xf>
    <xf numFmtId="168" fontId="30" fillId="2" borderId="6" xfId="1" applyNumberFormat="1" applyFont="1" applyFill="1" applyBorder="1" applyAlignment="1">
      <alignment vertical="center"/>
    </xf>
    <xf numFmtId="0" fontId="16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16" fillId="3" borderId="6" xfId="1" applyNumberFormat="1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168" fontId="26" fillId="0" borderId="6" xfId="1" applyNumberFormat="1" applyFont="1" applyBorder="1" applyAlignment="1">
      <alignment vertical="center"/>
    </xf>
    <xf numFmtId="0" fontId="30" fillId="3" borderId="4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168" fontId="30" fillId="5" borderId="6" xfId="1" applyNumberFormat="1" applyFont="1" applyFill="1" applyBorder="1" applyAlignment="1">
      <alignment vertical="center"/>
    </xf>
    <xf numFmtId="168" fontId="38" fillId="5" borderId="11" xfId="1" applyNumberFormat="1" applyFont="1" applyFill="1" applyBorder="1" applyAlignment="1">
      <alignment vertical="center"/>
    </xf>
    <xf numFmtId="170" fontId="0" fillId="0" borderId="0" xfId="0" applyNumberFormat="1"/>
    <xf numFmtId="170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165" fontId="6" fillId="2" borderId="9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3" fontId="12" fillId="2" borderId="3" xfId="0" applyNumberFormat="1" applyFont="1" applyFill="1" applyBorder="1" applyAlignment="1">
      <alignment horizontal="center"/>
    </xf>
    <xf numFmtId="3" fontId="13" fillId="2" borderId="4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3" fontId="13" fillId="2" borderId="6" xfId="0" applyNumberFormat="1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/>
    </xf>
    <xf numFmtId="0" fontId="19" fillId="2" borderId="32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3" fontId="13" fillId="2" borderId="22" xfId="0" applyNumberFormat="1" applyFont="1" applyFill="1" applyBorder="1" applyAlignment="1">
      <alignment horizontal="center"/>
    </xf>
    <xf numFmtId="3" fontId="13" fillId="2" borderId="23" xfId="0" applyNumberFormat="1" applyFont="1" applyFill="1" applyBorder="1" applyAlignment="1">
      <alignment horizontal="center"/>
    </xf>
    <xf numFmtId="3" fontId="13" fillId="2" borderId="24" xfId="0" applyNumberFormat="1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169" fontId="20" fillId="2" borderId="1" xfId="1" applyNumberFormat="1" applyFont="1" applyFill="1" applyBorder="1" applyAlignment="1">
      <alignment horizontal="center" vertical="center"/>
    </xf>
    <xf numFmtId="169" fontId="20" fillId="2" borderId="2" xfId="1" applyNumberFormat="1" applyFont="1" applyFill="1" applyBorder="1" applyAlignment="1">
      <alignment horizontal="center" vertical="center"/>
    </xf>
    <xf numFmtId="169" fontId="20" fillId="2" borderId="3" xfId="1" applyNumberFormat="1" applyFont="1" applyFill="1" applyBorder="1" applyAlignment="1">
      <alignment horizontal="center" vertical="center"/>
    </xf>
    <xf numFmtId="169" fontId="20" fillId="2" borderId="4" xfId="1" applyNumberFormat="1" applyFont="1" applyFill="1" applyBorder="1" applyAlignment="1">
      <alignment horizontal="center" vertical="center"/>
    </xf>
    <xf numFmtId="169" fontId="20" fillId="2" borderId="5" xfId="1" applyNumberFormat="1" applyFont="1" applyFill="1" applyBorder="1" applyAlignment="1">
      <alignment horizontal="center" vertical="center"/>
    </xf>
    <xf numFmtId="169" fontId="20" fillId="2" borderId="6" xfId="1" applyNumberFormat="1" applyFont="1" applyFill="1" applyBorder="1" applyAlignment="1">
      <alignment horizontal="center" vertical="center"/>
    </xf>
    <xf numFmtId="169" fontId="21" fillId="3" borderId="4" xfId="1" applyNumberFormat="1" applyFont="1" applyFill="1" applyBorder="1" applyAlignment="1">
      <alignment horizontal="center" vertical="center"/>
    </xf>
    <xf numFmtId="169" fontId="21" fillId="3" borderId="5" xfId="1" applyNumberFormat="1" applyFont="1" applyFill="1" applyBorder="1" applyAlignment="1">
      <alignment horizontal="center" vertical="center"/>
    </xf>
    <xf numFmtId="169" fontId="30" fillId="2" borderId="4" xfId="1" applyNumberFormat="1" applyFont="1" applyFill="1" applyBorder="1" applyAlignment="1">
      <alignment horizontal="center" vertical="center"/>
    </xf>
    <xf numFmtId="169" fontId="30" fillId="2" borderId="5" xfId="1" applyNumberFormat="1" applyFont="1" applyFill="1" applyBorder="1" applyAlignment="1">
      <alignment horizontal="center" vertical="center"/>
    </xf>
    <xf numFmtId="169" fontId="27" fillId="2" borderId="1" xfId="1" applyNumberFormat="1" applyFont="1" applyFill="1" applyBorder="1" applyAlignment="1">
      <alignment horizontal="center" vertical="center"/>
    </xf>
    <xf numFmtId="169" fontId="27" fillId="2" borderId="2" xfId="1" applyNumberFormat="1" applyFont="1" applyFill="1" applyBorder="1" applyAlignment="1">
      <alignment horizontal="center" vertical="center"/>
    </xf>
    <xf numFmtId="169" fontId="27" fillId="2" borderId="3" xfId="1" applyNumberFormat="1" applyFont="1" applyFill="1" applyBorder="1" applyAlignment="1">
      <alignment horizontal="center" vertical="center"/>
    </xf>
    <xf numFmtId="169" fontId="25" fillId="3" borderId="4" xfId="1" applyNumberFormat="1" applyFont="1" applyFill="1" applyBorder="1" applyAlignment="1">
      <alignment horizontal="center" vertical="center"/>
    </xf>
    <xf numFmtId="169" fontId="25" fillId="3" borderId="5" xfId="1" applyNumberFormat="1" applyFont="1" applyFill="1" applyBorder="1" applyAlignment="1">
      <alignment horizontal="center" vertical="center"/>
    </xf>
    <xf numFmtId="169" fontId="29" fillId="3" borderId="5" xfId="1" applyNumberFormat="1" applyFont="1" applyFill="1" applyBorder="1" applyAlignment="1">
      <alignment horizontal="center" vertical="center"/>
    </xf>
    <xf numFmtId="169" fontId="27" fillId="2" borderId="4" xfId="1" applyNumberFormat="1" applyFont="1" applyFill="1" applyBorder="1" applyAlignment="1">
      <alignment horizontal="center" vertical="center"/>
    </xf>
    <xf numFmtId="169" fontId="27" fillId="2" borderId="5" xfId="1" applyNumberFormat="1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169" fontId="29" fillId="3" borderId="5" xfId="1" applyNumberFormat="1" applyFont="1" applyFill="1" applyBorder="1" applyAlignment="1">
      <alignment horizontal="right" vertical="center"/>
    </xf>
    <xf numFmtId="0" fontId="28" fillId="0" borderId="5" xfId="0" applyFont="1" applyBorder="1" applyAlignment="1">
      <alignment horizontal="center" vertical="center"/>
    </xf>
    <xf numFmtId="169" fontId="27" fillId="2" borderId="1" xfId="1" applyNumberFormat="1" applyFont="1" applyFill="1" applyBorder="1" applyAlignment="1">
      <alignment horizontal="center"/>
    </xf>
    <xf numFmtId="169" fontId="27" fillId="2" borderId="2" xfId="1" applyNumberFormat="1" applyFont="1" applyFill="1" applyBorder="1" applyAlignment="1">
      <alignment horizontal="center"/>
    </xf>
    <xf numFmtId="169" fontId="27" fillId="2" borderId="3" xfId="1" applyNumberFormat="1" applyFont="1" applyFill="1" applyBorder="1" applyAlignment="1">
      <alignment horizontal="center"/>
    </xf>
    <xf numFmtId="169" fontId="34" fillId="3" borderId="5" xfId="1" applyNumberFormat="1" applyFont="1" applyFill="1" applyBorder="1" applyAlignment="1">
      <alignment horizontal="center"/>
    </xf>
    <xf numFmtId="169" fontId="30" fillId="2" borderId="4" xfId="1" applyNumberFormat="1" applyFont="1" applyFill="1" applyBorder="1" applyAlignment="1">
      <alignment horizontal="center"/>
    </xf>
    <xf numFmtId="169" fontId="30" fillId="2" borderId="5" xfId="1" applyNumberFormat="1" applyFont="1" applyFill="1" applyBorder="1" applyAlignment="1">
      <alignment horizontal="center"/>
    </xf>
    <xf numFmtId="169" fontId="24" fillId="0" borderId="4" xfId="1" applyNumberFormat="1" applyFont="1" applyBorder="1" applyAlignment="1">
      <alignment horizontal="center"/>
    </xf>
    <xf numFmtId="169" fontId="24" fillId="0" borderId="5" xfId="1" applyNumberFormat="1" applyFont="1" applyBorder="1" applyAlignment="1">
      <alignment horizontal="center"/>
    </xf>
    <xf numFmtId="169" fontId="27" fillId="2" borderId="34" xfId="1" applyNumberFormat="1" applyFont="1" applyFill="1" applyBorder="1" applyAlignment="1">
      <alignment horizontal="center" vertical="center"/>
    </xf>
    <xf numFmtId="169" fontId="27" fillId="2" borderId="35" xfId="1" applyNumberFormat="1" applyFont="1" applyFill="1" applyBorder="1" applyAlignment="1">
      <alignment horizontal="center" vertical="center"/>
    </xf>
    <xf numFmtId="169" fontId="27" fillId="2" borderId="36" xfId="1" applyNumberFormat="1" applyFont="1" applyFill="1" applyBorder="1" applyAlignment="1">
      <alignment horizontal="center" vertical="center"/>
    </xf>
    <xf numFmtId="169" fontId="33" fillId="0" borderId="5" xfId="1" applyNumberFormat="1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169" fontId="30" fillId="2" borderId="9" xfId="1" applyNumberFormat="1" applyFont="1" applyFill="1" applyBorder="1" applyAlignment="1">
      <alignment horizontal="center"/>
    </xf>
    <xf numFmtId="169" fontId="30" fillId="2" borderId="10" xfId="1" applyNumberFormat="1" applyFont="1" applyFill="1" applyBorder="1" applyAlignment="1">
      <alignment horizontal="center"/>
    </xf>
    <xf numFmtId="169" fontId="31" fillId="3" borderId="5" xfId="1" applyNumberFormat="1" applyFont="1" applyFill="1" applyBorder="1" applyAlignment="1">
      <alignment horizontal="center"/>
    </xf>
    <xf numFmtId="169" fontId="34" fillId="3" borderId="4" xfId="1" applyNumberFormat="1" applyFont="1" applyFill="1" applyBorder="1" applyAlignment="1">
      <alignment horizontal="center"/>
    </xf>
    <xf numFmtId="169" fontId="27" fillId="2" borderId="33" xfId="1" applyNumberFormat="1" applyFont="1" applyFill="1" applyBorder="1" applyAlignment="1">
      <alignment horizontal="center"/>
    </xf>
    <xf numFmtId="169" fontId="27" fillId="2" borderId="7" xfId="1" applyNumberFormat="1" applyFont="1" applyFill="1" applyBorder="1" applyAlignment="1">
      <alignment horizontal="center"/>
    </xf>
    <xf numFmtId="169" fontId="27" fillId="2" borderId="9" xfId="1" applyNumberFormat="1" applyFont="1" applyFill="1" applyBorder="1" applyAlignment="1">
      <alignment horizontal="center"/>
    </xf>
    <xf numFmtId="169" fontId="27" fillId="2" borderId="10" xfId="1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5" fillId="3" borderId="17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35" fillId="3" borderId="18" xfId="0" applyFont="1" applyFill="1" applyBorder="1" applyAlignment="1">
      <alignment horizontal="center" vertical="center"/>
    </xf>
    <xf numFmtId="169" fontId="36" fillId="4" borderId="34" xfId="1" applyNumberFormat="1" applyFont="1" applyFill="1" applyBorder="1" applyAlignment="1">
      <alignment horizontal="center"/>
    </xf>
    <xf numFmtId="169" fontId="36" fillId="4" borderId="35" xfId="1" applyNumberFormat="1" applyFont="1" applyFill="1" applyBorder="1" applyAlignment="1">
      <alignment horizontal="center"/>
    </xf>
    <xf numFmtId="169" fontId="36" fillId="2" borderId="4" xfId="1" applyNumberFormat="1" applyFont="1" applyFill="1" applyBorder="1" applyAlignment="1">
      <alignment horizontal="center"/>
    </xf>
    <xf numFmtId="169" fontId="36" fillId="2" borderId="5" xfId="1" applyNumberFormat="1" applyFont="1" applyFill="1" applyBorder="1" applyAlignment="1">
      <alignment horizontal="center"/>
    </xf>
    <xf numFmtId="169" fontId="38" fillId="2" borderId="9" xfId="1" applyNumberFormat="1" applyFont="1" applyFill="1" applyBorder="1" applyAlignment="1">
      <alignment horizontal="center"/>
    </xf>
    <xf numFmtId="169" fontId="38" fillId="2" borderId="10" xfId="1" applyNumberFormat="1" applyFont="1" applyFill="1" applyBorder="1" applyAlignment="1">
      <alignment horizontal="center"/>
    </xf>
    <xf numFmtId="169" fontId="34" fillId="3" borderId="5" xfId="1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69" fontId="34" fillId="2" borderId="9" xfId="1" applyNumberFormat="1" applyFont="1" applyFill="1" applyBorder="1" applyAlignment="1">
      <alignment horizontal="center"/>
    </xf>
    <xf numFmtId="169" fontId="34" fillId="2" borderId="10" xfId="1" applyNumberFormat="1" applyFont="1" applyFill="1" applyBorder="1" applyAlignment="1">
      <alignment horizontal="center"/>
    </xf>
    <xf numFmtId="0" fontId="30" fillId="0" borderId="2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30" fillId="3" borderId="33" xfId="0" applyFont="1" applyFill="1" applyBorder="1" applyAlignment="1">
      <alignment horizontal="center" vertical="center"/>
    </xf>
    <xf numFmtId="0" fontId="30" fillId="3" borderId="34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5" borderId="17" xfId="0" applyFont="1" applyFill="1" applyBorder="1" applyAlignment="1">
      <alignment horizontal="center" vertical="center"/>
    </xf>
    <xf numFmtId="0" fontId="30" fillId="5" borderId="18" xfId="0" applyFont="1" applyFill="1" applyBorder="1" applyAlignment="1">
      <alignment horizontal="center" vertical="center"/>
    </xf>
    <xf numFmtId="0" fontId="36" fillId="5" borderId="9" xfId="0" applyFont="1" applyFill="1" applyBorder="1" applyAlignment="1">
      <alignment horizontal="center" vertical="center"/>
    </xf>
    <xf numFmtId="0" fontId="36" fillId="5" borderId="10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168" fontId="0" fillId="0" borderId="0" xfId="1" applyNumberFormat="1" applyFont="1"/>
    <xf numFmtId="168" fontId="0" fillId="0" borderId="0" xfId="0" applyNumberFormat="1"/>
    <xf numFmtId="174" fontId="0" fillId="0" borderId="0" xfId="1" applyNumberFormat="1" applyFont="1"/>
  </cellXfs>
  <cellStyles count="4">
    <cellStyle name="Comma" xfId="1" builtinId="3"/>
    <cellStyle name="Comma 2" xfId="3" xr:uid="{E6B2D8EB-9C22-436D-9A13-CA4C27ED1B2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" refreshedDate="45055.073863078702" createdVersion="6" refreshedVersion="6" minRefreshableVersion="3" recordCount="118" xr:uid="{F7E21DE9-5F39-4613-BCB6-BCBB3D3096B4}">
  <cacheSource type="worksheet">
    <worksheetSource ref="A1:G119" sheet="reports"/>
  </cacheSource>
  <cacheFields count="7">
    <cacheField name="تاریخ " numFmtId="170">
      <sharedItems containsDate="1" containsMixedTypes="1" minDate="2023-04-04T00:00:00" maxDate="2023-04-06T00:00:00" count="31">
        <d v="2023-04-04T00:00:00"/>
        <d v="2023-04-05T00:00:00"/>
        <s v="2023/4/5"/>
        <s v="2023/4/6"/>
        <s v="2023/4/7"/>
        <s v="2023/4/8"/>
        <s v="2023/4/9"/>
        <s v="2023/4/10"/>
        <s v="2023/4/11"/>
        <s v="2023/4/12"/>
        <s v="2023/4/13"/>
        <s v="2023/4/14"/>
        <s v="2023/4/15"/>
        <s v="2023/4/16"/>
        <s v="2023/4/17"/>
        <s v="2023/4/18"/>
        <s v="2023/4/19"/>
        <s v="2023/4/20"/>
        <s v="2023/4/21"/>
        <s v="2023/4/24"/>
        <s v="2023/4/25"/>
        <s v="2023/4/26"/>
        <s v="2023/4/27"/>
        <s v="2023/4/28"/>
        <s v="2023/4/29"/>
        <s v="2023/4/30"/>
        <s v="2023/5/1"/>
        <s v="2023/5/2"/>
        <s v="2023/5/3"/>
        <s v="2023/5/4"/>
        <s v="2023/5/5"/>
      </sharedItems>
    </cacheField>
    <cacheField name="خریدار " numFmtId="0">
      <sharedItems count="17">
        <s v="نفت سپاهان"/>
        <s v="نفت بهران"/>
        <s v="پتروشیمی کارون"/>
        <s v="سیبا پلیمر البرز"/>
        <s v="شیمی سبز شینا"/>
        <s v="شیمی بافت"/>
        <s v="اصفهان کوپلیمر"/>
        <s v="شیمی نفت پاسارگاد"/>
        <s v="ماندانا شیمی"/>
        <s v="نفت ایرانول"/>
        <s v="رزین دریک"/>
        <s v="روغن حافظ موتور"/>
        <s v="آبنوس روانکاران آسیا"/>
        <s v="مواد شیمیایی ایران"/>
        <s v="دارا فریدنی"/>
        <s v="مسعود خطیبی"/>
        <s v="ابراهیم اسماعیلی"/>
      </sharedItems>
    </cacheField>
    <cacheField name="شماره حواله" numFmtId="0">
      <sharedItems containsSemiMixedTypes="0" containsString="0" containsNumber="1" containsInteger="1" minValue="13264" maxValue="13398"/>
    </cacheField>
    <cacheField name="نوع بشکه" numFmtId="0">
      <sharedItems/>
    </cacheField>
    <cacheField name="قیمت واحد (ریال)" numFmtId="0">
      <sharedItems containsSemiMixedTypes="0" containsString="0" containsNumber="1" containsInteger="1" minValue="7450000" maxValue="13500000"/>
    </cacheField>
    <cacheField name="تعداد" numFmtId="0">
      <sharedItems containsSemiMixedTypes="0" containsString="0" containsNumber="1" containsInteger="1" minValue="1" maxValue="400"/>
    </cacheField>
    <cacheField name="تاریخ شمسی" numFmtId="0">
      <sharedItems count="30">
        <s v="1402/01/15"/>
        <s v="1402/01/16"/>
        <s v="1402/01/17"/>
        <s v="1402/01/18"/>
        <s v="1402/01/19"/>
        <s v="1402/01/20"/>
        <s v="1402/01/21"/>
        <s v="1402/01/22"/>
        <s v="1402/01/23"/>
        <s v="1402/01/24"/>
        <s v="1402/01/25"/>
        <s v="1402/01/26"/>
        <s v="1402/01/27"/>
        <s v="1402/01/28"/>
        <s v="1402/01/29"/>
        <s v="1402/01/30"/>
        <s v="1402/01/31"/>
        <s v="1402/02/01"/>
        <s v="1402/02/04"/>
        <s v="1402/02/05"/>
        <s v="1402/02/06"/>
        <s v="1402/02/07"/>
        <s v="1402/02/08"/>
        <s v="1402/02/09"/>
        <s v="1402/02/10"/>
        <s v="1402/02/11"/>
        <s v="1402/02/12"/>
        <s v="1402/02/13"/>
        <s v="1402/02/14"/>
        <s v="1402/02/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n v="13264"/>
    <s v="زرد 2206"/>
    <n v="9960000"/>
    <n v="400"/>
    <x v="0"/>
  </r>
  <r>
    <x v="0"/>
    <x v="0"/>
    <n v="13265"/>
    <s v="زرد 2206"/>
    <n v="9960000"/>
    <n v="400"/>
    <x v="0"/>
  </r>
  <r>
    <x v="0"/>
    <x v="1"/>
    <n v="13267"/>
    <s v="آبی سفید 2201"/>
    <n v="12000000"/>
    <n v="400"/>
    <x v="0"/>
  </r>
  <r>
    <x v="0"/>
    <x v="2"/>
    <n v="13268"/>
    <s v="قرمز 2201"/>
    <n v="7450000"/>
    <n v="400"/>
    <x v="0"/>
  </r>
  <r>
    <x v="1"/>
    <x v="0"/>
    <n v="13270"/>
    <s v="زرد 2206"/>
    <n v="9960000"/>
    <n v="400"/>
    <x v="1"/>
  </r>
  <r>
    <x v="2"/>
    <x v="0"/>
    <n v="13271"/>
    <s v="زرد 2206"/>
    <n v="9960000"/>
    <n v="393"/>
    <x v="1"/>
  </r>
  <r>
    <x v="2"/>
    <x v="2"/>
    <n v="13272"/>
    <s v="قرمز 2201"/>
    <n v="7450000"/>
    <n v="400"/>
    <x v="1"/>
  </r>
  <r>
    <x v="2"/>
    <x v="1"/>
    <n v="13273"/>
    <s v="آبی سفید 2201"/>
    <n v="12000000"/>
    <n v="400"/>
    <x v="1"/>
  </r>
  <r>
    <x v="3"/>
    <x v="0"/>
    <n v="13274"/>
    <s v="زرد و مشکی 2201"/>
    <n v="11700000"/>
    <n v="400"/>
    <x v="2"/>
  </r>
  <r>
    <x v="3"/>
    <x v="0"/>
    <n v="13275"/>
    <s v="زرد و مشکی 2201"/>
    <n v="11700000"/>
    <n v="400"/>
    <x v="2"/>
  </r>
  <r>
    <x v="3"/>
    <x v="1"/>
    <n v="13276"/>
    <s v="آبی سفید 2201"/>
    <n v="12000000"/>
    <n v="400"/>
    <x v="2"/>
  </r>
  <r>
    <x v="3"/>
    <x v="1"/>
    <n v="13277"/>
    <s v="آبی سفید 2201"/>
    <n v="12000000"/>
    <n v="400"/>
    <x v="2"/>
  </r>
  <r>
    <x v="4"/>
    <x v="1"/>
    <n v="13278"/>
    <s v="آبی سفید 2201"/>
    <n v="12000000"/>
    <n v="400"/>
    <x v="3"/>
  </r>
  <r>
    <x v="4"/>
    <x v="0"/>
    <n v="13279"/>
    <s v="زرد و مشکی 2201"/>
    <n v="11700000"/>
    <n v="400"/>
    <x v="3"/>
  </r>
  <r>
    <x v="4"/>
    <x v="2"/>
    <n v="13281"/>
    <s v="قرمز 2201"/>
    <n v="7450000"/>
    <n v="400"/>
    <x v="3"/>
  </r>
  <r>
    <x v="5"/>
    <x v="0"/>
    <n v="13280"/>
    <s v="زرد و مشکی 2201"/>
    <n v="11700000"/>
    <n v="400"/>
    <x v="4"/>
  </r>
  <r>
    <x v="5"/>
    <x v="0"/>
    <n v="13282"/>
    <s v="زرد و مشکی 2201"/>
    <n v="11700000"/>
    <n v="400"/>
    <x v="4"/>
  </r>
  <r>
    <x v="5"/>
    <x v="1"/>
    <n v="13284"/>
    <s v="آبی سفید 2201"/>
    <n v="12000000"/>
    <n v="400"/>
    <x v="4"/>
  </r>
  <r>
    <x v="5"/>
    <x v="1"/>
    <n v="13285"/>
    <s v="آبی سفید 2201"/>
    <n v="12000000"/>
    <n v="400"/>
    <x v="4"/>
  </r>
  <r>
    <x v="6"/>
    <x v="0"/>
    <n v="13286"/>
    <s v="زرد و مشکی 2201"/>
    <n v="11700000"/>
    <n v="400"/>
    <x v="5"/>
  </r>
  <r>
    <x v="6"/>
    <x v="1"/>
    <n v="13288"/>
    <s v="آبی سفید 2201"/>
    <n v="12000000"/>
    <n v="400"/>
    <x v="5"/>
  </r>
  <r>
    <x v="6"/>
    <x v="2"/>
    <n v="13290"/>
    <s v="قرمز 2201"/>
    <n v="7450000"/>
    <n v="400"/>
    <x v="5"/>
  </r>
  <r>
    <x v="7"/>
    <x v="0"/>
    <n v="13283"/>
    <s v="زرد و مشکی 2201"/>
    <n v="11700000"/>
    <n v="400"/>
    <x v="6"/>
  </r>
  <r>
    <x v="7"/>
    <x v="1"/>
    <n v="13289"/>
    <s v="آبی سفید 2201"/>
    <n v="12000000"/>
    <n v="400"/>
    <x v="6"/>
  </r>
  <r>
    <x v="7"/>
    <x v="1"/>
    <n v="13291"/>
    <s v="آبی سفید 2201"/>
    <n v="12000000"/>
    <n v="400"/>
    <x v="6"/>
  </r>
  <r>
    <x v="7"/>
    <x v="3"/>
    <n v="13292"/>
    <s v="زرد آبی 2205"/>
    <n v="11800000"/>
    <n v="398"/>
    <x v="6"/>
  </r>
  <r>
    <x v="8"/>
    <x v="0"/>
    <n v="13287"/>
    <s v="زرد و مشکی 2201"/>
    <n v="11700000"/>
    <n v="400"/>
    <x v="7"/>
  </r>
  <r>
    <x v="8"/>
    <x v="2"/>
    <n v="13296"/>
    <s v="آبی 2201"/>
    <n v="7450000"/>
    <n v="400"/>
    <x v="7"/>
  </r>
  <r>
    <x v="9"/>
    <x v="2"/>
    <n v="13295"/>
    <s v="قرمز 2201"/>
    <n v="7450000"/>
    <n v="400"/>
    <x v="8"/>
  </r>
  <r>
    <x v="9"/>
    <x v="1"/>
    <n v="13299"/>
    <s v="آبی سفید 2201"/>
    <n v="12000000"/>
    <n v="400"/>
    <x v="8"/>
  </r>
  <r>
    <x v="10"/>
    <x v="4"/>
    <n v="13298"/>
    <s v="سبز 2206"/>
    <n v="11900000"/>
    <n v="50"/>
    <x v="9"/>
  </r>
  <r>
    <x v="10"/>
    <x v="1"/>
    <n v="13301"/>
    <s v="آبی سفید 2201"/>
    <n v="12000000"/>
    <n v="400"/>
    <x v="9"/>
  </r>
  <r>
    <x v="11"/>
    <x v="2"/>
    <n v="13300"/>
    <s v="زرد 2201"/>
    <n v="7450000"/>
    <n v="400"/>
    <x v="10"/>
  </r>
  <r>
    <x v="11"/>
    <x v="1"/>
    <n v="13302"/>
    <s v="آبی سفید 2201"/>
    <n v="12000000"/>
    <n v="400"/>
    <x v="10"/>
  </r>
  <r>
    <x v="12"/>
    <x v="1"/>
    <n v="13305"/>
    <s v="آبی سفید 2201"/>
    <n v="12000000"/>
    <n v="400"/>
    <x v="11"/>
  </r>
  <r>
    <x v="12"/>
    <x v="2"/>
    <n v="13306"/>
    <s v="قرمز 2201"/>
    <n v="7450000"/>
    <n v="400"/>
    <x v="11"/>
  </r>
  <r>
    <x v="12"/>
    <x v="2"/>
    <n v="13307"/>
    <s v="مشکی 2201"/>
    <n v="7450000"/>
    <n v="400"/>
    <x v="11"/>
  </r>
  <r>
    <x v="13"/>
    <x v="2"/>
    <n v="13308"/>
    <s v="قرمز 2201"/>
    <n v="7450000"/>
    <n v="400"/>
    <x v="12"/>
  </r>
  <r>
    <x v="13"/>
    <x v="2"/>
    <n v="13309"/>
    <s v="قرمز 2201"/>
    <n v="7450000"/>
    <n v="400"/>
    <x v="12"/>
  </r>
  <r>
    <x v="13"/>
    <x v="1"/>
    <n v="13310"/>
    <s v="آبی سفید 2201"/>
    <n v="12000000"/>
    <n v="400"/>
    <x v="12"/>
  </r>
  <r>
    <x v="13"/>
    <x v="1"/>
    <n v="13311"/>
    <s v="آبی سفید 2201"/>
    <n v="12000000"/>
    <n v="400"/>
    <x v="12"/>
  </r>
  <r>
    <x v="13"/>
    <x v="1"/>
    <n v="13312"/>
    <s v="آبی سفید 2201"/>
    <n v="12000000"/>
    <n v="400"/>
    <x v="12"/>
  </r>
  <r>
    <x v="14"/>
    <x v="1"/>
    <n v="13313"/>
    <s v="آبی سفید 2201"/>
    <n v="12000000"/>
    <n v="400"/>
    <x v="13"/>
  </r>
  <r>
    <x v="14"/>
    <x v="1"/>
    <n v="13314"/>
    <s v="آبی سفید 2201"/>
    <n v="12000000"/>
    <n v="400"/>
    <x v="13"/>
  </r>
  <r>
    <x v="15"/>
    <x v="1"/>
    <n v="13315"/>
    <s v="آبی سفید 2201"/>
    <n v="12000000"/>
    <n v="400"/>
    <x v="14"/>
  </r>
  <r>
    <x v="15"/>
    <x v="1"/>
    <n v="13316"/>
    <s v="آبی سفید 2201"/>
    <n v="12000000"/>
    <n v="400"/>
    <x v="14"/>
  </r>
  <r>
    <x v="15"/>
    <x v="2"/>
    <n v="13317"/>
    <s v="قرمز 2201"/>
    <n v="7450000"/>
    <n v="400"/>
    <x v="14"/>
  </r>
  <r>
    <x v="15"/>
    <x v="5"/>
    <n v="13318"/>
    <s v="آبی 2201"/>
    <n v="13500000"/>
    <n v="400"/>
    <x v="14"/>
  </r>
  <r>
    <x v="16"/>
    <x v="6"/>
    <n v="13319"/>
    <s v="آبی 2202"/>
    <n v="13050000"/>
    <n v="120"/>
    <x v="15"/>
  </r>
  <r>
    <x v="16"/>
    <x v="6"/>
    <n v="13320"/>
    <s v="آبی 2202"/>
    <n v="13050000"/>
    <n v="120"/>
    <x v="15"/>
  </r>
  <r>
    <x v="16"/>
    <x v="6"/>
    <n v="13321"/>
    <s v="آبی 2202"/>
    <n v="13050000"/>
    <n v="74"/>
    <x v="15"/>
  </r>
  <r>
    <x v="16"/>
    <x v="7"/>
    <n v="13322"/>
    <s v="آبی 2202"/>
    <n v="13050000"/>
    <n v="46"/>
    <x v="15"/>
  </r>
  <r>
    <x v="16"/>
    <x v="7"/>
    <n v="13323"/>
    <s v="آبی 2202"/>
    <n v="13050000"/>
    <n v="120"/>
    <x v="15"/>
  </r>
  <r>
    <x v="16"/>
    <x v="1"/>
    <n v="13324"/>
    <s v="آبی سفید 2201"/>
    <n v="12000000"/>
    <n v="400"/>
    <x v="15"/>
  </r>
  <r>
    <x v="16"/>
    <x v="1"/>
    <n v="13325"/>
    <s v="آبی سفید 2201"/>
    <n v="12000000"/>
    <n v="400"/>
    <x v="15"/>
  </r>
  <r>
    <x v="17"/>
    <x v="1"/>
    <n v="13326"/>
    <s v="آبی سفید 2201"/>
    <n v="12000000"/>
    <n v="400"/>
    <x v="16"/>
  </r>
  <r>
    <x v="17"/>
    <x v="1"/>
    <n v="13327"/>
    <s v="آبی سفید 2201"/>
    <n v="12000000"/>
    <n v="400"/>
    <x v="16"/>
  </r>
  <r>
    <x v="18"/>
    <x v="2"/>
    <n v="13329"/>
    <s v="قرمز 2201"/>
    <n v="7450000"/>
    <n v="400"/>
    <x v="17"/>
  </r>
  <r>
    <x v="18"/>
    <x v="4"/>
    <n v="13330"/>
    <s v="سبز 2206"/>
    <n v="11900000"/>
    <n v="100"/>
    <x v="17"/>
  </r>
  <r>
    <x v="19"/>
    <x v="8"/>
    <n v="13331"/>
    <s v="آبی 1201"/>
    <n v="13000000"/>
    <n v="100"/>
    <x v="18"/>
  </r>
  <r>
    <x v="19"/>
    <x v="1"/>
    <n v="13332"/>
    <s v="آبی سفید 2201"/>
    <n v="12000000"/>
    <n v="400"/>
    <x v="18"/>
  </r>
  <r>
    <x v="19"/>
    <x v="1"/>
    <n v="13333"/>
    <s v="آبی سفید 2201"/>
    <n v="12000000"/>
    <n v="400"/>
    <x v="18"/>
  </r>
  <r>
    <x v="19"/>
    <x v="2"/>
    <n v="13334"/>
    <s v="قرمز 2201"/>
    <n v="7450000"/>
    <n v="400"/>
    <x v="18"/>
  </r>
  <r>
    <x v="19"/>
    <x v="9"/>
    <n v="13335"/>
    <s v="نارنجی 2201"/>
    <n v="12500000"/>
    <n v="400"/>
    <x v="18"/>
  </r>
  <r>
    <x v="19"/>
    <x v="9"/>
    <n v="13336"/>
    <s v="نارنجی 2201"/>
    <n v="12500000"/>
    <n v="400"/>
    <x v="18"/>
  </r>
  <r>
    <x v="20"/>
    <x v="1"/>
    <n v="13337"/>
    <s v="نارنجی 2200"/>
    <n v="13000000"/>
    <n v="400"/>
    <x v="19"/>
  </r>
  <r>
    <x v="20"/>
    <x v="1"/>
    <n v="13341"/>
    <s v="آبی سفید 2201"/>
    <n v="12000000"/>
    <n v="400"/>
    <x v="19"/>
  </r>
  <r>
    <x v="20"/>
    <x v="1"/>
    <n v="13342"/>
    <s v="آبی سفید 2201"/>
    <n v="12000000"/>
    <n v="400"/>
    <x v="19"/>
  </r>
  <r>
    <x v="20"/>
    <x v="10"/>
    <n v="13343"/>
    <s v="نارنجی 2201"/>
    <n v="13000000"/>
    <n v="10"/>
    <x v="19"/>
  </r>
  <r>
    <x v="21"/>
    <x v="2"/>
    <n v="13340"/>
    <s v="آبی 2201"/>
    <n v="7450000"/>
    <n v="400"/>
    <x v="20"/>
  </r>
  <r>
    <x v="21"/>
    <x v="0"/>
    <n v="13344"/>
    <s v="زرد و مشکی 2201"/>
    <n v="11700000"/>
    <n v="400"/>
    <x v="20"/>
  </r>
  <r>
    <x v="21"/>
    <x v="1"/>
    <n v="13345"/>
    <s v="آبی سفید 2201"/>
    <n v="12000000"/>
    <n v="397"/>
    <x v="20"/>
  </r>
  <r>
    <x v="21"/>
    <x v="0"/>
    <n v="13346"/>
    <s v="زرد و مشکی 2201"/>
    <n v="11700000"/>
    <n v="400"/>
    <x v="20"/>
  </r>
  <r>
    <x v="22"/>
    <x v="0"/>
    <n v="13348"/>
    <s v="زرد 2206"/>
    <n v="9960000"/>
    <n v="399"/>
    <x v="21"/>
  </r>
  <r>
    <x v="22"/>
    <x v="2"/>
    <n v="13350"/>
    <s v="قرمز 2201"/>
    <n v="7450000"/>
    <n v="400"/>
    <x v="21"/>
  </r>
  <r>
    <x v="22"/>
    <x v="2"/>
    <n v="13351"/>
    <s v="قرمز 2201"/>
    <n v="7450000"/>
    <n v="400"/>
    <x v="21"/>
  </r>
  <r>
    <x v="22"/>
    <x v="4"/>
    <n v="13354"/>
    <s v="زرد 2206"/>
    <n v="11900000"/>
    <n v="120"/>
    <x v="21"/>
  </r>
  <r>
    <x v="22"/>
    <x v="4"/>
    <n v="13355"/>
    <s v="زرد 2206"/>
    <n v="11900000"/>
    <n v="47"/>
    <x v="21"/>
  </r>
  <r>
    <x v="23"/>
    <x v="5"/>
    <n v="13339"/>
    <s v="آبی 2201"/>
    <n v="13500000"/>
    <n v="400"/>
    <x v="22"/>
  </r>
  <r>
    <x v="23"/>
    <x v="0"/>
    <n v="13349"/>
    <s v="زرد 2206"/>
    <n v="9960000"/>
    <n v="400"/>
    <x v="22"/>
  </r>
  <r>
    <x v="23"/>
    <x v="1"/>
    <n v="13356"/>
    <s v="آبی سفید 2201"/>
    <n v="12000000"/>
    <n v="400"/>
    <x v="22"/>
  </r>
  <r>
    <x v="23"/>
    <x v="1"/>
    <n v="13357"/>
    <s v="آبی سفید 2201"/>
    <n v="12000000"/>
    <n v="400"/>
    <x v="22"/>
  </r>
  <r>
    <x v="23"/>
    <x v="1"/>
    <n v="13358"/>
    <s v="آبی سفید 2201"/>
    <n v="12000000"/>
    <n v="400"/>
    <x v="22"/>
  </r>
  <r>
    <x v="24"/>
    <x v="0"/>
    <n v="13359"/>
    <s v="زرد و مشکی 2201"/>
    <n v="11700000"/>
    <n v="400"/>
    <x v="23"/>
  </r>
  <r>
    <x v="24"/>
    <x v="1"/>
    <n v="13361"/>
    <s v="آبی سفید 2201"/>
    <n v="12000000"/>
    <n v="400"/>
    <x v="23"/>
  </r>
  <r>
    <x v="24"/>
    <x v="1"/>
    <n v="13362"/>
    <s v="آبی سفید 2201"/>
    <n v="12000000"/>
    <n v="400"/>
    <x v="23"/>
  </r>
  <r>
    <x v="24"/>
    <x v="11"/>
    <n v="13363"/>
    <s v="آبی 2201"/>
    <n v="13000000"/>
    <n v="120"/>
    <x v="23"/>
  </r>
  <r>
    <x v="25"/>
    <x v="0"/>
    <n v="13360"/>
    <s v="زرد و مشکی 2201"/>
    <n v="11700000"/>
    <n v="400"/>
    <x v="24"/>
  </r>
  <r>
    <x v="25"/>
    <x v="1"/>
    <n v="13366"/>
    <s v="آبی سفید 2201"/>
    <n v="12000000"/>
    <n v="400"/>
    <x v="24"/>
  </r>
  <r>
    <x v="25"/>
    <x v="9"/>
    <n v="13368"/>
    <s v="نارنجی 2201"/>
    <n v="12500000"/>
    <n v="400"/>
    <x v="24"/>
  </r>
  <r>
    <x v="25"/>
    <x v="9"/>
    <n v="13369"/>
    <s v="نارنجی 2201"/>
    <n v="12500000"/>
    <n v="400"/>
    <x v="24"/>
  </r>
  <r>
    <x v="25"/>
    <x v="0"/>
    <n v="13370"/>
    <s v="زرد 2206"/>
    <n v="9960000"/>
    <n v="398"/>
    <x v="24"/>
  </r>
  <r>
    <x v="26"/>
    <x v="0"/>
    <n v="13365"/>
    <s v="زرد و مشکی 2201"/>
    <n v="11700000"/>
    <n v="400"/>
    <x v="25"/>
  </r>
  <r>
    <x v="26"/>
    <x v="1"/>
    <n v="13367"/>
    <s v="آبی سفید 2201"/>
    <n v="12000000"/>
    <n v="400"/>
    <x v="25"/>
  </r>
  <r>
    <x v="26"/>
    <x v="1"/>
    <n v="13372"/>
    <s v="آبی سفید 2201"/>
    <n v="12000000"/>
    <n v="400"/>
    <x v="25"/>
  </r>
  <r>
    <x v="26"/>
    <x v="1"/>
    <n v="13373"/>
    <s v="آبی سفید 2201"/>
    <n v="12000000"/>
    <n v="400"/>
    <x v="25"/>
  </r>
  <r>
    <x v="26"/>
    <x v="2"/>
    <n v="13374"/>
    <s v="قرمز 2201"/>
    <n v="7450000"/>
    <n v="400"/>
    <x v="25"/>
  </r>
  <r>
    <x v="27"/>
    <x v="12"/>
    <n v="13375"/>
    <s v="آبی 2202"/>
    <n v="12000000"/>
    <n v="22"/>
    <x v="26"/>
  </r>
  <r>
    <x v="27"/>
    <x v="13"/>
    <n v="13376"/>
    <s v="زرد 2206"/>
    <n v="11200000"/>
    <n v="15"/>
    <x v="26"/>
  </r>
  <r>
    <x v="27"/>
    <x v="1"/>
    <n v="13377"/>
    <s v="آبی سفید 2201"/>
    <n v="12000000"/>
    <n v="400"/>
    <x v="26"/>
  </r>
  <r>
    <x v="27"/>
    <x v="0"/>
    <n v="13379"/>
    <s v="زرد 2206"/>
    <n v="9960000"/>
    <n v="400"/>
    <x v="26"/>
  </r>
  <r>
    <x v="27"/>
    <x v="2"/>
    <n v="13381"/>
    <s v="قرمز 2201"/>
    <n v="7450000"/>
    <n v="400"/>
    <x v="26"/>
  </r>
  <r>
    <x v="27"/>
    <x v="13"/>
    <n v="13382"/>
    <s v="زرد 2206"/>
    <n v="11200000"/>
    <n v="15"/>
    <x v="26"/>
  </r>
  <r>
    <x v="27"/>
    <x v="4"/>
    <n v="13383"/>
    <s v="زرد 2206"/>
    <n v="11900000"/>
    <n v="120"/>
    <x v="26"/>
  </r>
  <r>
    <x v="27"/>
    <x v="14"/>
    <n v="13385"/>
    <s v="آبی 1201"/>
    <n v="13000000"/>
    <n v="7"/>
    <x v="26"/>
  </r>
  <r>
    <x v="27"/>
    <x v="4"/>
    <n v="13386"/>
    <s v="زرد 2206"/>
    <n v="11900000"/>
    <n v="49"/>
    <x v="26"/>
  </r>
  <r>
    <x v="28"/>
    <x v="2"/>
    <n v="13380"/>
    <s v="قرمز 2201"/>
    <n v="7450000"/>
    <n v="400"/>
    <x v="27"/>
  </r>
  <r>
    <x v="28"/>
    <x v="0"/>
    <n v="13387"/>
    <s v="زرد 2206"/>
    <n v="9960000"/>
    <n v="400"/>
    <x v="27"/>
  </r>
  <r>
    <x v="28"/>
    <x v="15"/>
    <n v="13388"/>
    <s v="آبی 2206"/>
    <n v="13000000"/>
    <n v="20"/>
    <x v="27"/>
  </r>
  <r>
    <x v="28"/>
    <x v="0"/>
    <n v="13389"/>
    <s v="زرد و مشکی 2201"/>
    <n v="11700000"/>
    <n v="400"/>
    <x v="27"/>
  </r>
  <r>
    <x v="28"/>
    <x v="1"/>
    <n v="13390"/>
    <s v="آبی سفید 2201"/>
    <n v="12000000"/>
    <n v="400"/>
    <x v="27"/>
  </r>
  <r>
    <x v="29"/>
    <x v="1"/>
    <n v="13392"/>
    <s v="آبی سفید 2201"/>
    <n v="12000000"/>
    <n v="400"/>
    <x v="28"/>
  </r>
  <r>
    <x v="29"/>
    <x v="0"/>
    <n v="13394"/>
    <s v="زرد 2206"/>
    <n v="9960000"/>
    <n v="399"/>
    <x v="28"/>
  </r>
  <r>
    <x v="29"/>
    <x v="0"/>
    <n v="13395"/>
    <s v="زرد و مشکی 2201"/>
    <n v="11700000"/>
    <n v="400"/>
    <x v="28"/>
  </r>
  <r>
    <x v="29"/>
    <x v="16"/>
    <n v="13396"/>
    <s v="قرمز 2201"/>
    <n v="13000000"/>
    <n v="1"/>
    <x v="28"/>
  </r>
  <r>
    <x v="30"/>
    <x v="2"/>
    <n v="13393"/>
    <s v="قرمز 2201"/>
    <n v="7450000"/>
    <n v="400"/>
    <x v="29"/>
  </r>
  <r>
    <x v="30"/>
    <x v="2"/>
    <n v="13397"/>
    <s v="آبی 2201"/>
    <n v="7450000"/>
    <n v="400"/>
    <x v="29"/>
  </r>
  <r>
    <x v="30"/>
    <x v="15"/>
    <n v="13398"/>
    <s v="طوسی 2206"/>
    <n v="13500000"/>
    <n v="1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1FAD2-8021-484C-B67E-39110DCACD49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>
  <location ref="A3:B35" firstHeaderRow="1" firstDataRow="1" firstDataCol="2"/>
  <pivotFields count="7">
    <pivotField axis="axisRow" compact="0" outline="0" showAll="0" defaultSubtotal="0">
      <items count="31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"/>
        <item x="3"/>
        <item x="4"/>
        <item x="5"/>
        <item x="6"/>
        <item x="26"/>
        <item x="27"/>
        <item x="28"/>
        <item x="29"/>
        <item x="30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6"/>
  </rowFields>
  <rowItems count="32">
    <i>
      <x/>
      <x v="6"/>
    </i>
    <i>
      <x v="1"/>
      <x v="7"/>
    </i>
    <i>
      <x v="2"/>
      <x v="8"/>
    </i>
    <i>
      <x v="3"/>
      <x v="9"/>
    </i>
    <i>
      <x v="4"/>
      <x v="10"/>
    </i>
    <i>
      <x v="5"/>
      <x v="11"/>
    </i>
    <i>
      <x v="6"/>
      <x v="12"/>
    </i>
    <i>
      <x v="7"/>
      <x v="13"/>
    </i>
    <i>
      <x v="8"/>
      <x v="14"/>
    </i>
    <i>
      <x v="9"/>
      <x v="15"/>
    </i>
    <i>
      <x v="10"/>
      <x v="16"/>
    </i>
    <i>
      <x v="11"/>
      <x v="17"/>
    </i>
    <i>
      <x v="12"/>
      <x v="18"/>
    </i>
    <i>
      <x v="13"/>
      <x v="19"/>
    </i>
    <i>
      <x v="14"/>
      <x v="20"/>
    </i>
    <i>
      <x v="15"/>
      <x v="21"/>
    </i>
    <i>
      <x v="16"/>
      <x v="22"/>
    </i>
    <i>
      <x v="17"/>
      <x v="23"/>
    </i>
    <i>
      <x v="18"/>
      <x v="24"/>
    </i>
    <i>
      <x v="19"/>
      <x v="1"/>
    </i>
    <i>
      <x v="20"/>
      <x v="2"/>
    </i>
    <i>
      <x v="21"/>
      <x v="3"/>
    </i>
    <i>
      <x v="22"/>
      <x v="4"/>
    </i>
    <i>
      <x v="23"/>
      <x v="5"/>
    </i>
    <i>
      <x v="24"/>
      <x v="25"/>
    </i>
    <i>
      <x v="25"/>
      <x v="26"/>
    </i>
    <i>
      <x v="26"/>
      <x v="27"/>
    </i>
    <i>
      <x v="27"/>
      <x v="28"/>
    </i>
    <i>
      <x v="28"/>
      <x v="29"/>
    </i>
    <i>
      <x v="29"/>
      <x/>
    </i>
    <i>
      <x v="30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580AC-0D8F-493E-8826-2BF0C2E9325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7">
    <pivotField showAll="0"/>
    <pivotField axis="axisRow" showAll="0">
      <items count="18">
        <item x="16"/>
        <item x="12"/>
        <item x="6"/>
        <item x="2"/>
        <item x="14"/>
        <item x="10"/>
        <item x="11"/>
        <item x="3"/>
        <item x="5"/>
        <item x="4"/>
        <item x="7"/>
        <item x="8"/>
        <item x="15"/>
        <item x="13"/>
        <item x="9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قیمت واحد (ریال)" fld="4" baseField="0" baseItem="0"/>
    <dataField name="Sum of تعداد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rightToLeft="1" workbookViewId="0">
      <selection activeCell="D4" sqref="D4"/>
    </sheetView>
  </sheetViews>
  <sheetFormatPr defaultRowHeight="15"/>
  <cols>
    <col min="1" max="1" width="5" bestFit="1" customWidth="1"/>
    <col min="2" max="2" width="8.42578125" bestFit="1" customWidth="1"/>
    <col min="3" max="3" width="14.42578125" bestFit="1" customWidth="1"/>
    <col min="4" max="4" width="8.85546875" bestFit="1" customWidth="1"/>
    <col min="5" max="5" width="12.5703125" bestFit="1" customWidth="1"/>
    <col min="6" max="6" width="13.140625" bestFit="1" customWidth="1"/>
    <col min="7" max="7" width="7.7109375" bestFit="1" customWidth="1"/>
    <col min="10" max="10" width="10.7109375" bestFit="1" customWidth="1"/>
    <col min="11" max="11" width="15.85546875" bestFit="1" customWidth="1"/>
    <col min="16" max="16" width="10.7109375" bestFit="1" customWidth="1"/>
  </cols>
  <sheetData>
    <row r="1" spans="1:16">
      <c r="A1" s="102" t="s">
        <v>0</v>
      </c>
      <c r="B1" s="103"/>
      <c r="C1" s="103"/>
      <c r="D1" s="103"/>
      <c r="E1" s="103"/>
      <c r="F1" s="103"/>
      <c r="G1" s="104"/>
    </row>
    <row r="2" spans="1:16">
      <c r="A2" s="105" t="s">
        <v>73</v>
      </c>
      <c r="B2" s="106"/>
      <c r="C2" s="106"/>
      <c r="D2" s="106"/>
      <c r="E2" s="106"/>
      <c r="F2" s="106"/>
      <c r="G2" s="107"/>
    </row>
    <row r="3" spans="1:16">
      <c r="A3" s="1" t="s">
        <v>1</v>
      </c>
      <c r="B3" s="2" t="s">
        <v>2</v>
      </c>
      <c r="C3" s="3" t="s">
        <v>3</v>
      </c>
      <c r="D3" s="4" t="s">
        <v>4</v>
      </c>
      <c r="E3" s="5" t="s">
        <v>5</v>
      </c>
      <c r="F3" s="5" t="s">
        <v>6</v>
      </c>
      <c r="G3" s="6" t="s">
        <v>7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273</v>
      </c>
    </row>
    <row r="4" spans="1:16">
      <c r="A4" s="7">
        <v>1</v>
      </c>
      <c r="B4" s="8" t="s">
        <v>8</v>
      </c>
      <c r="C4" s="9" t="s">
        <v>9</v>
      </c>
      <c r="D4" s="10">
        <v>13264</v>
      </c>
      <c r="E4" s="9" t="s">
        <v>10</v>
      </c>
      <c r="F4" s="11">
        <v>9960000</v>
      </c>
      <c r="G4" s="12">
        <v>400</v>
      </c>
      <c r="I4">
        <v>1</v>
      </c>
      <c r="J4" s="95">
        <v>45020</v>
      </c>
      <c r="K4" t="s">
        <v>9</v>
      </c>
      <c r="L4">
        <v>13264</v>
      </c>
      <c r="M4" t="s">
        <v>10</v>
      </c>
      <c r="N4">
        <v>9960000</v>
      </c>
      <c r="O4">
        <v>400</v>
      </c>
      <c r="P4" s="96" t="s">
        <v>8</v>
      </c>
    </row>
    <row r="5" spans="1:16">
      <c r="A5" s="7">
        <v>2</v>
      </c>
      <c r="B5" s="8" t="s">
        <v>8</v>
      </c>
      <c r="C5" s="9" t="s">
        <v>9</v>
      </c>
      <c r="D5" s="10">
        <v>13265</v>
      </c>
      <c r="E5" s="9" t="s">
        <v>10</v>
      </c>
      <c r="F5" s="11">
        <v>9960000</v>
      </c>
      <c r="G5" s="12">
        <v>400</v>
      </c>
      <c r="I5">
        <v>2</v>
      </c>
      <c r="J5" s="95">
        <v>45020</v>
      </c>
      <c r="K5" t="s">
        <v>9</v>
      </c>
      <c r="L5">
        <v>13265</v>
      </c>
      <c r="M5" t="s">
        <v>10</v>
      </c>
      <c r="N5">
        <v>9960000</v>
      </c>
      <c r="O5">
        <v>400</v>
      </c>
      <c r="P5" s="96" t="s">
        <v>8</v>
      </c>
    </row>
    <row r="6" spans="1:16">
      <c r="A6" s="7">
        <v>3</v>
      </c>
      <c r="B6" s="8" t="s">
        <v>8</v>
      </c>
      <c r="C6" s="9" t="s">
        <v>11</v>
      </c>
      <c r="D6" s="10">
        <v>13267</v>
      </c>
      <c r="E6" s="9" t="s">
        <v>12</v>
      </c>
      <c r="F6" s="11">
        <v>12000000</v>
      </c>
      <c r="G6" s="12">
        <v>400</v>
      </c>
      <c r="I6">
        <v>3</v>
      </c>
      <c r="J6" s="95">
        <v>45020</v>
      </c>
      <c r="K6" t="s">
        <v>11</v>
      </c>
      <c r="L6">
        <v>13267</v>
      </c>
      <c r="M6" t="s">
        <v>12</v>
      </c>
      <c r="N6">
        <v>12000000</v>
      </c>
      <c r="O6">
        <v>400</v>
      </c>
      <c r="P6" s="96" t="s">
        <v>8</v>
      </c>
    </row>
    <row r="7" spans="1:16">
      <c r="A7" s="7">
        <v>4</v>
      </c>
      <c r="B7" s="8" t="s">
        <v>8</v>
      </c>
      <c r="C7" s="9" t="s">
        <v>13</v>
      </c>
      <c r="D7" s="10">
        <v>13268</v>
      </c>
      <c r="E7" s="9" t="s">
        <v>14</v>
      </c>
      <c r="F7" s="11">
        <v>7450000</v>
      </c>
      <c r="G7" s="12">
        <v>400</v>
      </c>
      <c r="I7">
        <v>4</v>
      </c>
      <c r="J7" s="95" t="s">
        <v>241</v>
      </c>
      <c r="K7" t="s">
        <v>13</v>
      </c>
      <c r="L7">
        <v>13268</v>
      </c>
      <c r="M7" t="s">
        <v>14</v>
      </c>
      <c r="N7">
        <v>7450000</v>
      </c>
      <c r="O7">
        <v>400</v>
      </c>
      <c r="P7" s="96" t="s">
        <v>8</v>
      </c>
    </row>
    <row r="8" spans="1:16">
      <c r="A8" s="7">
        <v>5</v>
      </c>
      <c r="B8" s="8" t="s">
        <v>15</v>
      </c>
      <c r="C8" s="9" t="s">
        <v>9</v>
      </c>
      <c r="D8" s="10">
        <v>13270</v>
      </c>
      <c r="E8" s="9" t="s">
        <v>10</v>
      </c>
      <c r="F8" s="11">
        <v>9960000</v>
      </c>
      <c r="G8" s="12">
        <v>400</v>
      </c>
      <c r="I8">
        <v>5</v>
      </c>
      <c r="J8" s="95" t="s">
        <v>242</v>
      </c>
      <c r="K8" t="s">
        <v>9</v>
      </c>
      <c r="L8">
        <v>13270</v>
      </c>
      <c r="M8" t="s">
        <v>10</v>
      </c>
      <c r="N8">
        <v>9960000</v>
      </c>
      <c r="O8">
        <v>400</v>
      </c>
      <c r="P8" s="96" t="s">
        <v>15</v>
      </c>
    </row>
    <row r="9" spans="1:16">
      <c r="A9" s="7">
        <v>6</v>
      </c>
      <c r="B9" s="8" t="s">
        <v>15</v>
      </c>
      <c r="C9" s="9" t="s">
        <v>9</v>
      </c>
      <c r="D9" s="10">
        <v>13271</v>
      </c>
      <c r="E9" s="9" t="s">
        <v>10</v>
      </c>
      <c r="F9" s="11">
        <v>9960000</v>
      </c>
      <c r="G9" s="12">
        <v>393</v>
      </c>
      <c r="I9">
        <v>6</v>
      </c>
      <c r="J9" s="95" t="s">
        <v>242</v>
      </c>
      <c r="K9" t="s">
        <v>9</v>
      </c>
      <c r="L9">
        <v>13271</v>
      </c>
      <c r="M9" t="s">
        <v>10</v>
      </c>
      <c r="N9">
        <v>9960000</v>
      </c>
      <c r="O9">
        <v>393</v>
      </c>
      <c r="P9" s="96" t="s">
        <v>15</v>
      </c>
    </row>
    <row r="10" spans="1:16">
      <c r="A10" s="7">
        <v>7</v>
      </c>
      <c r="B10" s="8" t="s">
        <v>15</v>
      </c>
      <c r="C10" s="9" t="s">
        <v>13</v>
      </c>
      <c r="D10" s="10">
        <v>13272</v>
      </c>
      <c r="E10" s="9" t="s">
        <v>14</v>
      </c>
      <c r="F10" s="11">
        <v>7450000</v>
      </c>
      <c r="G10" s="12">
        <v>400</v>
      </c>
      <c r="I10">
        <v>7</v>
      </c>
      <c r="J10" s="95" t="s">
        <v>242</v>
      </c>
      <c r="K10" t="s">
        <v>13</v>
      </c>
      <c r="L10">
        <v>13272</v>
      </c>
      <c r="M10" t="s">
        <v>14</v>
      </c>
      <c r="N10">
        <v>7450000</v>
      </c>
      <c r="O10">
        <v>400</v>
      </c>
      <c r="P10" s="96" t="s">
        <v>15</v>
      </c>
    </row>
    <row r="11" spans="1:16">
      <c r="A11" s="7">
        <v>8</v>
      </c>
      <c r="B11" s="8" t="s">
        <v>15</v>
      </c>
      <c r="C11" s="9" t="s">
        <v>11</v>
      </c>
      <c r="D11" s="10">
        <v>13273</v>
      </c>
      <c r="E11" s="9" t="s">
        <v>12</v>
      </c>
      <c r="F11" s="11">
        <v>12000000</v>
      </c>
      <c r="G11" s="12">
        <v>400</v>
      </c>
      <c r="I11">
        <v>8</v>
      </c>
      <c r="J11" s="95" t="s">
        <v>242</v>
      </c>
      <c r="K11" t="s">
        <v>11</v>
      </c>
      <c r="L11">
        <v>13273</v>
      </c>
      <c r="M11" t="s">
        <v>12</v>
      </c>
      <c r="N11">
        <v>12000000</v>
      </c>
      <c r="O11">
        <v>400</v>
      </c>
      <c r="P11" s="96" t="s">
        <v>15</v>
      </c>
    </row>
    <row r="12" spans="1:16">
      <c r="A12" s="7">
        <v>9</v>
      </c>
      <c r="B12" s="8" t="s">
        <v>16</v>
      </c>
      <c r="C12" s="9" t="s">
        <v>9</v>
      </c>
      <c r="D12" s="10">
        <v>13274</v>
      </c>
      <c r="E12" s="9" t="s">
        <v>17</v>
      </c>
      <c r="F12" s="13">
        <v>11700000</v>
      </c>
      <c r="G12" s="14">
        <v>400</v>
      </c>
      <c r="I12">
        <v>9</v>
      </c>
      <c r="J12" s="95" t="s">
        <v>243</v>
      </c>
      <c r="K12" t="s">
        <v>9</v>
      </c>
      <c r="L12">
        <v>13274</v>
      </c>
      <c r="M12" t="s">
        <v>17</v>
      </c>
      <c r="N12">
        <v>11700000</v>
      </c>
      <c r="O12">
        <v>400</v>
      </c>
      <c r="P12" s="96" t="s">
        <v>16</v>
      </c>
    </row>
    <row r="13" spans="1:16">
      <c r="A13" s="7">
        <v>10</v>
      </c>
      <c r="B13" s="8" t="s">
        <v>16</v>
      </c>
      <c r="C13" s="9" t="s">
        <v>9</v>
      </c>
      <c r="D13" s="10">
        <v>13275</v>
      </c>
      <c r="E13" s="9" t="s">
        <v>17</v>
      </c>
      <c r="F13" s="13">
        <v>11700000</v>
      </c>
      <c r="G13" s="14">
        <v>400</v>
      </c>
      <c r="I13">
        <v>10</v>
      </c>
      <c r="J13" s="95" t="s">
        <v>243</v>
      </c>
      <c r="K13" t="s">
        <v>9</v>
      </c>
      <c r="L13">
        <v>13275</v>
      </c>
      <c r="M13" t="s">
        <v>17</v>
      </c>
      <c r="N13">
        <v>11700000</v>
      </c>
      <c r="O13">
        <v>400</v>
      </c>
      <c r="P13" s="96" t="s">
        <v>16</v>
      </c>
    </row>
    <row r="14" spans="1:16">
      <c r="A14" s="7">
        <v>11</v>
      </c>
      <c r="B14" s="8" t="s">
        <v>16</v>
      </c>
      <c r="C14" s="9" t="s">
        <v>11</v>
      </c>
      <c r="D14" s="10">
        <v>13276</v>
      </c>
      <c r="E14" s="9" t="s">
        <v>12</v>
      </c>
      <c r="F14" s="11">
        <v>12000000</v>
      </c>
      <c r="G14" s="12">
        <v>400</v>
      </c>
      <c r="I14">
        <v>11</v>
      </c>
      <c r="J14" s="95" t="s">
        <v>243</v>
      </c>
      <c r="K14" t="s">
        <v>11</v>
      </c>
      <c r="L14">
        <v>13276</v>
      </c>
      <c r="M14" t="s">
        <v>12</v>
      </c>
      <c r="N14">
        <v>12000000</v>
      </c>
      <c r="O14">
        <v>400</v>
      </c>
      <c r="P14" s="96" t="s">
        <v>16</v>
      </c>
    </row>
    <row r="15" spans="1:16">
      <c r="A15" s="7">
        <v>12</v>
      </c>
      <c r="B15" s="8" t="s">
        <v>16</v>
      </c>
      <c r="C15" s="9" t="s">
        <v>11</v>
      </c>
      <c r="D15" s="10">
        <v>13277</v>
      </c>
      <c r="E15" s="9" t="s">
        <v>12</v>
      </c>
      <c r="F15" s="11">
        <v>12000000</v>
      </c>
      <c r="G15" s="12">
        <v>400</v>
      </c>
      <c r="I15">
        <v>12</v>
      </c>
      <c r="J15" s="95" t="s">
        <v>243</v>
      </c>
      <c r="K15" t="s">
        <v>11</v>
      </c>
      <c r="L15">
        <v>13277</v>
      </c>
      <c r="M15" t="s">
        <v>12</v>
      </c>
      <c r="N15">
        <v>12000000</v>
      </c>
      <c r="O15">
        <v>400</v>
      </c>
      <c r="P15" s="96" t="s">
        <v>16</v>
      </c>
    </row>
    <row r="16" spans="1:16">
      <c r="A16" s="7">
        <v>13</v>
      </c>
      <c r="B16" s="8" t="s">
        <v>18</v>
      </c>
      <c r="C16" s="9" t="s">
        <v>11</v>
      </c>
      <c r="D16" s="10">
        <v>13278</v>
      </c>
      <c r="E16" s="9" t="s">
        <v>12</v>
      </c>
      <c r="F16" s="11">
        <v>12000000</v>
      </c>
      <c r="G16" s="12">
        <v>400</v>
      </c>
      <c r="I16">
        <v>13</v>
      </c>
      <c r="J16" s="95" t="s">
        <v>244</v>
      </c>
      <c r="K16" t="s">
        <v>11</v>
      </c>
      <c r="L16">
        <v>13278</v>
      </c>
      <c r="M16" t="s">
        <v>12</v>
      </c>
      <c r="N16">
        <v>12000000</v>
      </c>
      <c r="O16">
        <v>400</v>
      </c>
      <c r="P16" s="96" t="s">
        <v>18</v>
      </c>
    </row>
    <row r="17" spans="1:16">
      <c r="A17" s="7">
        <v>14</v>
      </c>
      <c r="B17" s="8" t="s">
        <v>18</v>
      </c>
      <c r="C17" s="9" t="s">
        <v>9</v>
      </c>
      <c r="D17" s="10">
        <v>13279</v>
      </c>
      <c r="E17" s="9" t="s">
        <v>17</v>
      </c>
      <c r="F17" s="13">
        <v>11700000</v>
      </c>
      <c r="G17" s="14">
        <v>400</v>
      </c>
      <c r="I17">
        <v>14</v>
      </c>
      <c r="J17" s="95" t="s">
        <v>244</v>
      </c>
      <c r="K17" t="s">
        <v>9</v>
      </c>
      <c r="L17">
        <v>13279</v>
      </c>
      <c r="M17" t="s">
        <v>17</v>
      </c>
      <c r="N17">
        <v>11700000</v>
      </c>
      <c r="O17">
        <v>400</v>
      </c>
      <c r="P17" s="96" t="s">
        <v>18</v>
      </c>
    </row>
    <row r="18" spans="1:16">
      <c r="A18" s="7">
        <v>15</v>
      </c>
      <c r="B18" s="8" t="s">
        <v>18</v>
      </c>
      <c r="C18" s="9" t="s">
        <v>13</v>
      </c>
      <c r="D18" s="10">
        <v>13281</v>
      </c>
      <c r="E18" s="9" t="s">
        <v>14</v>
      </c>
      <c r="F18" s="11">
        <v>7450000</v>
      </c>
      <c r="G18" s="12">
        <v>400</v>
      </c>
      <c r="I18">
        <v>15</v>
      </c>
      <c r="J18" s="95" t="s">
        <v>244</v>
      </c>
      <c r="K18" t="s">
        <v>13</v>
      </c>
      <c r="L18">
        <v>13281</v>
      </c>
      <c r="M18" t="s">
        <v>14</v>
      </c>
      <c r="N18">
        <v>7450000</v>
      </c>
      <c r="O18">
        <v>400</v>
      </c>
      <c r="P18" s="96" t="s">
        <v>18</v>
      </c>
    </row>
    <row r="19" spans="1:16">
      <c r="A19" s="7">
        <v>16</v>
      </c>
      <c r="B19" s="8" t="s">
        <v>19</v>
      </c>
      <c r="C19" s="9" t="s">
        <v>9</v>
      </c>
      <c r="D19" s="10">
        <v>13280</v>
      </c>
      <c r="E19" s="9" t="s">
        <v>17</v>
      </c>
      <c r="F19" s="13">
        <v>11700000</v>
      </c>
      <c r="G19" s="14">
        <v>400</v>
      </c>
      <c r="I19">
        <v>16</v>
      </c>
      <c r="J19" s="95" t="s">
        <v>245</v>
      </c>
      <c r="K19" t="s">
        <v>9</v>
      </c>
      <c r="L19">
        <v>13280</v>
      </c>
      <c r="M19" t="s">
        <v>17</v>
      </c>
      <c r="N19">
        <v>11700000</v>
      </c>
      <c r="O19">
        <v>400</v>
      </c>
      <c r="P19" s="96" t="s">
        <v>19</v>
      </c>
    </row>
    <row r="20" spans="1:16">
      <c r="A20" s="7">
        <v>17</v>
      </c>
      <c r="B20" s="8" t="s">
        <v>19</v>
      </c>
      <c r="C20" s="9" t="s">
        <v>9</v>
      </c>
      <c r="D20" s="10">
        <v>13282</v>
      </c>
      <c r="E20" s="9" t="s">
        <v>17</v>
      </c>
      <c r="F20" s="13">
        <v>11700000</v>
      </c>
      <c r="G20" s="14">
        <v>400</v>
      </c>
      <c r="I20">
        <v>17</v>
      </c>
      <c r="J20" s="95" t="s">
        <v>245</v>
      </c>
      <c r="K20" t="s">
        <v>9</v>
      </c>
      <c r="L20">
        <v>13282</v>
      </c>
      <c r="M20" t="s">
        <v>17</v>
      </c>
      <c r="N20">
        <v>11700000</v>
      </c>
      <c r="O20">
        <v>400</v>
      </c>
      <c r="P20" s="96" t="s">
        <v>19</v>
      </c>
    </row>
    <row r="21" spans="1:16">
      <c r="A21" s="7">
        <v>18</v>
      </c>
      <c r="B21" s="8" t="s">
        <v>19</v>
      </c>
      <c r="C21" s="9" t="s">
        <v>11</v>
      </c>
      <c r="D21" s="10">
        <v>13284</v>
      </c>
      <c r="E21" s="9" t="s">
        <v>12</v>
      </c>
      <c r="F21" s="11">
        <v>12000000</v>
      </c>
      <c r="G21" s="12">
        <v>400</v>
      </c>
      <c r="I21">
        <v>18</v>
      </c>
      <c r="J21" s="95" t="s">
        <v>245</v>
      </c>
      <c r="K21" t="s">
        <v>11</v>
      </c>
      <c r="L21">
        <v>13284</v>
      </c>
      <c r="M21" t="s">
        <v>12</v>
      </c>
      <c r="N21">
        <v>12000000</v>
      </c>
      <c r="O21">
        <v>400</v>
      </c>
      <c r="P21" s="96" t="s">
        <v>19</v>
      </c>
    </row>
    <row r="22" spans="1:16">
      <c r="A22" s="7">
        <v>19</v>
      </c>
      <c r="B22" s="8" t="s">
        <v>19</v>
      </c>
      <c r="C22" s="9" t="s">
        <v>11</v>
      </c>
      <c r="D22" s="10">
        <v>13285</v>
      </c>
      <c r="E22" s="9" t="s">
        <v>12</v>
      </c>
      <c r="F22" s="11">
        <v>12000000</v>
      </c>
      <c r="G22" s="12">
        <v>400</v>
      </c>
      <c r="I22">
        <v>19</v>
      </c>
      <c r="J22" s="95" t="s">
        <v>245</v>
      </c>
      <c r="K22" t="s">
        <v>11</v>
      </c>
      <c r="L22">
        <v>13285</v>
      </c>
      <c r="M22" t="s">
        <v>12</v>
      </c>
      <c r="N22">
        <v>12000000</v>
      </c>
      <c r="O22">
        <v>400</v>
      </c>
      <c r="P22" s="96" t="s">
        <v>19</v>
      </c>
    </row>
    <row r="23" spans="1:16">
      <c r="A23" s="7">
        <v>20</v>
      </c>
      <c r="B23" s="8" t="s">
        <v>20</v>
      </c>
      <c r="C23" s="9" t="s">
        <v>9</v>
      </c>
      <c r="D23" s="10">
        <v>13286</v>
      </c>
      <c r="E23" s="9" t="s">
        <v>17</v>
      </c>
      <c r="F23" s="13">
        <v>11700000</v>
      </c>
      <c r="G23" s="14">
        <v>400</v>
      </c>
      <c r="I23">
        <v>20</v>
      </c>
      <c r="J23" s="95" t="s">
        <v>246</v>
      </c>
      <c r="K23" t="s">
        <v>9</v>
      </c>
      <c r="L23">
        <v>13286</v>
      </c>
      <c r="M23" t="s">
        <v>17</v>
      </c>
      <c r="N23">
        <v>11700000</v>
      </c>
      <c r="O23">
        <v>400</v>
      </c>
      <c r="P23" s="96" t="s">
        <v>20</v>
      </c>
    </row>
    <row r="24" spans="1:16">
      <c r="A24" s="7">
        <v>21</v>
      </c>
      <c r="B24" s="8" t="s">
        <v>20</v>
      </c>
      <c r="C24" s="9" t="s">
        <v>11</v>
      </c>
      <c r="D24" s="10">
        <v>13288</v>
      </c>
      <c r="E24" s="9" t="s">
        <v>12</v>
      </c>
      <c r="F24" s="11">
        <v>12000000</v>
      </c>
      <c r="G24" s="12">
        <v>400</v>
      </c>
      <c r="I24">
        <v>21</v>
      </c>
      <c r="J24" s="95" t="s">
        <v>246</v>
      </c>
      <c r="K24" t="s">
        <v>11</v>
      </c>
      <c r="L24">
        <v>13288</v>
      </c>
      <c r="M24" t="s">
        <v>12</v>
      </c>
      <c r="N24">
        <v>12000000</v>
      </c>
      <c r="O24">
        <v>400</v>
      </c>
      <c r="P24" s="96" t="s">
        <v>20</v>
      </c>
    </row>
    <row r="25" spans="1:16">
      <c r="A25" s="7">
        <v>22</v>
      </c>
      <c r="B25" s="8" t="s">
        <v>20</v>
      </c>
      <c r="C25" s="9" t="s">
        <v>13</v>
      </c>
      <c r="D25" s="10">
        <v>13290</v>
      </c>
      <c r="E25" s="9" t="s">
        <v>14</v>
      </c>
      <c r="F25" s="11">
        <v>7450000</v>
      </c>
      <c r="G25" s="12">
        <v>400</v>
      </c>
      <c r="I25">
        <v>22</v>
      </c>
      <c r="J25" s="95" t="s">
        <v>246</v>
      </c>
      <c r="K25" t="s">
        <v>13</v>
      </c>
      <c r="L25">
        <v>13290</v>
      </c>
      <c r="M25" t="s">
        <v>14</v>
      </c>
      <c r="N25">
        <v>7450000</v>
      </c>
      <c r="O25">
        <v>400</v>
      </c>
      <c r="P25" s="96" t="s">
        <v>20</v>
      </c>
    </row>
    <row r="26" spans="1:16">
      <c r="A26" s="7">
        <v>23</v>
      </c>
      <c r="B26" s="8" t="s">
        <v>21</v>
      </c>
      <c r="C26" s="9" t="s">
        <v>9</v>
      </c>
      <c r="D26" s="10">
        <v>13283</v>
      </c>
      <c r="E26" s="9" t="s">
        <v>17</v>
      </c>
      <c r="F26" s="13">
        <v>11700000</v>
      </c>
      <c r="G26" s="14">
        <v>400</v>
      </c>
      <c r="I26">
        <v>23</v>
      </c>
      <c r="J26" s="95" t="s">
        <v>247</v>
      </c>
      <c r="K26" t="s">
        <v>9</v>
      </c>
      <c r="L26">
        <v>13283</v>
      </c>
      <c r="M26" t="s">
        <v>17</v>
      </c>
      <c r="N26">
        <v>11700000</v>
      </c>
      <c r="O26">
        <v>400</v>
      </c>
      <c r="P26" s="96" t="s">
        <v>21</v>
      </c>
    </row>
    <row r="27" spans="1:16">
      <c r="A27" s="7">
        <v>24</v>
      </c>
      <c r="B27" s="8" t="s">
        <v>21</v>
      </c>
      <c r="C27" s="9" t="s">
        <v>11</v>
      </c>
      <c r="D27" s="10">
        <v>13289</v>
      </c>
      <c r="E27" s="9" t="s">
        <v>12</v>
      </c>
      <c r="F27" s="11">
        <v>12000000</v>
      </c>
      <c r="G27" s="12">
        <v>400</v>
      </c>
      <c r="I27">
        <v>24</v>
      </c>
      <c r="J27" s="95" t="s">
        <v>247</v>
      </c>
      <c r="K27" t="s">
        <v>11</v>
      </c>
      <c r="L27">
        <v>13289</v>
      </c>
      <c r="M27" t="s">
        <v>12</v>
      </c>
      <c r="N27">
        <v>12000000</v>
      </c>
      <c r="O27">
        <v>400</v>
      </c>
      <c r="P27" s="96" t="s">
        <v>21</v>
      </c>
    </row>
    <row r="28" spans="1:16">
      <c r="A28" s="7">
        <v>25</v>
      </c>
      <c r="B28" s="8" t="s">
        <v>21</v>
      </c>
      <c r="C28" s="9" t="s">
        <v>11</v>
      </c>
      <c r="D28" s="10">
        <v>13291</v>
      </c>
      <c r="E28" s="9" t="s">
        <v>12</v>
      </c>
      <c r="F28" s="11">
        <v>12000000</v>
      </c>
      <c r="G28" s="12">
        <v>400</v>
      </c>
      <c r="I28">
        <v>25</v>
      </c>
      <c r="J28" s="95" t="s">
        <v>247</v>
      </c>
      <c r="K28" t="s">
        <v>11</v>
      </c>
      <c r="L28">
        <v>13291</v>
      </c>
      <c r="M28" t="s">
        <v>12</v>
      </c>
      <c r="N28">
        <v>12000000</v>
      </c>
      <c r="O28">
        <v>400</v>
      </c>
      <c r="P28" s="96" t="s">
        <v>21</v>
      </c>
    </row>
    <row r="29" spans="1:16">
      <c r="A29" s="7">
        <v>26</v>
      </c>
      <c r="B29" s="8" t="s">
        <v>21</v>
      </c>
      <c r="C29" s="9" t="s">
        <v>22</v>
      </c>
      <c r="D29" s="10">
        <v>13292</v>
      </c>
      <c r="E29" s="9" t="s">
        <v>23</v>
      </c>
      <c r="F29" s="13">
        <v>11800000</v>
      </c>
      <c r="G29" s="14">
        <v>398</v>
      </c>
      <c r="I29">
        <v>26</v>
      </c>
      <c r="J29" s="95" t="s">
        <v>247</v>
      </c>
      <c r="K29" t="s">
        <v>22</v>
      </c>
      <c r="L29">
        <v>13292</v>
      </c>
      <c r="M29" t="s">
        <v>23</v>
      </c>
      <c r="N29">
        <v>11800000</v>
      </c>
      <c r="O29">
        <v>398</v>
      </c>
      <c r="P29" s="96" t="s">
        <v>21</v>
      </c>
    </row>
    <row r="30" spans="1:16">
      <c r="A30" s="7">
        <v>27</v>
      </c>
      <c r="B30" s="8" t="s">
        <v>24</v>
      </c>
      <c r="C30" s="9" t="s">
        <v>9</v>
      </c>
      <c r="D30" s="10">
        <v>13287</v>
      </c>
      <c r="E30" s="9" t="s">
        <v>17</v>
      </c>
      <c r="F30" s="13">
        <v>11700000</v>
      </c>
      <c r="G30" s="14">
        <v>400</v>
      </c>
      <c r="I30">
        <v>27</v>
      </c>
      <c r="J30" s="95" t="s">
        <v>248</v>
      </c>
      <c r="K30" t="s">
        <v>9</v>
      </c>
      <c r="L30">
        <v>13287</v>
      </c>
      <c r="M30" t="s">
        <v>17</v>
      </c>
      <c r="N30">
        <v>11700000</v>
      </c>
      <c r="O30">
        <v>400</v>
      </c>
      <c r="P30" s="96" t="s">
        <v>24</v>
      </c>
    </row>
    <row r="31" spans="1:16">
      <c r="A31" s="7">
        <v>28</v>
      </c>
      <c r="B31" s="8" t="s">
        <v>24</v>
      </c>
      <c r="C31" s="9" t="s">
        <v>13</v>
      </c>
      <c r="D31" s="10">
        <v>13296</v>
      </c>
      <c r="E31" s="9" t="s">
        <v>25</v>
      </c>
      <c r="F31" s="11">
        <v>7450000</v>
      </c>
      <c r="G31" s="12">
        <v>400</v>
      </c>
      <c r="I31">
        <v>28</v>
      </c>
      <c r="J31" s="95" t="s">
        <v>248</v>
      </c>
      <c r="K31" t="s">
        <v>13</v>
      </c>
      <c r="L31">
        <v>13296</v>
      </c>
      <c r="M31" t="s">
        <v>25</v>
      </c>
      <c r="N31">
        <v>7450000</v>
      </c>
      <c r="O31">
        <v>400</v>
      </c>
      <c r="P31" s="96" t="s">
        <v>24</v>
      </c>
    </row>
    <row r="32" spans="1:16">
      <c r="A32" s="7">
        <v>29</v>
      </c>
      <c r="B32" s="8" t="s">
        <v>26</v>
      </c>
      <c r="C32" s="9" t="s">
        <v>13</v>
      </c>
      <c r="D32" s="10">
        <v>13295</v>
      </c>
      <c r="E32" s="9" t="s">
        <v>14</v>
      </c>
      <c r="F32" s="11">
        <v>7450000</v>
      </c>
      <c r="G32" s="12">
        <v>400</v>
      </c>
      <c r="I32">
        <v>29</v>
      </c>
      <c r="J32" s="95" t="s">
        <v>249</v>
      </c>
      <c r="K32" t="s">
        <v>13</v>
      </c>
      <c r="L32">
        <v>13295</v>
      </c>
      <c r="M32" t="s">
        <v>14</v>
      </c>
      <c r="N32">
        <v>7450000</v>
      </c>
      <c r="O32">
        <v>400</v>
      </c>
      <c r="P32" s="96" t="s">
        <v>26</v>
      </c>
    </row>
    <row r="33" spans="1:16">
      <c r="A33" s="7">
        <v>30</v>
      </c>
      <c r="B33" s="8" t="s">
        <v>26</v>
      </c>
      <c r="C33" s="9" t="s">
        <v>11</v>
      </c>
      <c r="D33" s="10">
        <v>13299</v>
      </c>
      <c r="E33" s="9" t="s">
        <v>12</v>
      </c>
      <c r="F33" s="11">
        <v>12000000</v>
      </c>
      <c r="G33" s="12">
        <v>400</v>
      </c>
      <c r="I33">
        <v>30</v>
      </c>
      <c r="J33" s="95" t="s">
        <v>249</v>
      </c>
      <c r="K33" t="s">
        <v>11</v>
      </c>
      <c r="L33">
        <v>13299</v>
      </c>
      <c r="M33" t="s">
        <v>12</v>
      </c>
      <c r="N33">
        <v>12000000</v>
      </c>
      <c r="O33">
        <v>400</v>
      </c>
      <c r="P33" s="96" t="s">
        <v>26</v>
      </c>
    </row>
    <row r="34" spans="1:16">
      <c r="A34" s="7">
        <v>31</v>
      </c>
      <c r="B34" s="8" t="s">
        <v>27</v>
      </c>
      <c r="C34" s="9" t="s">
        <v>28</v>
      </c>
      <c r="D34" s="10">
        <v>13298</v>
      </c>
      <c r="E34" s="9" t="s">
        <v>29</v>
      </c>
      <c r="F34" s="13">
        <v>11900000</v>
      </c>
      <c r="G34" s="14">
        <v>50</v>
      </c>
      <c r="I34">
        <v>31</v>
      </c>
      <c r="J34" s="95" t="s">
        <v>250</v>
      </c>
      <c r="K34" t="s">
        <v>28</v>
      </c>
      <c r="L34">
        <v>13298</v>
      </c>
      <c r="M34" t="s">
        <v>29</v>
      </c>
      <c r="N34">
        <v>11900000</v>
      </c>
      <c r="O34">
        <v>50</v>
      </c>
      <c r="P34" s="96" t="s">
        <v>27</v>
      </c>
    </row>
    <row r="35" spans="1:16">
      <c r="A35" s="7">
        <v>32</v>
      </c>
      <c r="B35" s="8" t="s">
        <v>27</v>
      </c>
      <c r="C35" s="9" t="s">
        <v>11</v>
      </c>
      <c r="D35" s="10">
        <v>13301</v>
      </c>
      <c r="E35" s="9" t="s">
        <v>12</v>
      </c>
      <c r="F35" s="11">
        <v>12000000</v>
      </c>
      <c r="G35" s="12">
        <v>400</v>
      </c>
      <c r="I35">
        <v>32</v>
      </c>
      <c r="J35" s="95" t="s">
        <v>250</v>
      </c>
      <c r="K35" t="s">
        <v>11</v>
      </c>
      <c r="L35">
        <v>13301</v>
      </c>
      <c r="M35" t="s">
        <v>12</v>
      </c>
      <c r="N35">
        <v>12000000</v>
      </c>
      <c r="O35">
        <v>400</v>
      </c>
      <c r="P35" s="96" t="s">
        <v>27</v>
      </c>
    </row>
    <row r="36" spans="1:16">
      <c r="A36" s="7">
        <v>33</v>
      </c>
      <c r="B36" s="8" t="s">
        <v>30</v>
      </c>
      <c r="C36" s="9" t="s">
        <v>13</v>
      </c>
      <c r="D36" s="10">
        <v>13300</v>
      </c>
      <c r="E36" s="9" t="s">
        <v>31</v>
      </c>
      <c r="F36" s="11">
        <v>7450000</v>
      </c>
      <c r="G36" s="12">
        <v>400</v>
      </c>
      <c r="I36">
        <v>33</v>
      </c>
      <c r="J36" s="95" t="s">
        <v>251</v>
      </c>
      <c r="K36" t="s">
        <v>13</v>
      </c>
      <c r="L36">
        <v>13300</v>
      </c>
      <c r="M36" t="s">
        <v>31</v>
      </c>
      <c r="N36">
        <v>7450000</v>
      </c>
      <c r="O36">
        <v>400</v>
      </c>
      <c r="P36" s="96" t="s">
        <v>30</v>
      </c>
    </row>
    <row r="37" spans="1:16">
      <c r="A37" s="7">
        <v>34</v>
      </c>
      <c r="B37" s="8" t="s">
        <v>30</v>
      </c>
      <c r="C37" s="9" t="s">
        <v>11</v>
      </c>
      <c r="D37" s="10">
        <v>13302</v>
      </c>
      <c r="E37" s="9" t="s">
        <v>12</v>
      </c>
      <c r="F37" s="11">
        <v>12000000</v>
      </c>
      <c r="G37" s="12">
        <v>400</v>
      </c>
      <c r="I37">
        <v>34</v>
      </c>
      <c r="J37" s="95" t="s">
        <v>251</v>
      </c>
      <c r="K37" t="s">
        <v>11</v>
      </c>
      <c r="L37">
        <v>13302</v>
      </c>
      <c r="M37" t="s">
        <v>12</v>
      </c>
      <c r="N37">
        <v>12000000</v>
      </c>
      <c r="O37">
        <v>400</v>
      </c>
      <c r="P37" s="96" t="s">
        <v>30</v>
      </c>
    </row>
    <row r="38" spans="1:16">
      <c r="A38" s="7">
        <v>35</v>
      </c>
      <c r="B38" s="8" t="s">
        <v>32</v>
      </c>
      <c r="C38" s="9" t="s">
        <v>11</v>
      </c>
      <c r="D38" s="10">
        <v>13305</v>
      </c>
      <c r="E38" s="9" t="s">
        <v>12</v>
      </c>
      <c r="F38" s="11">
        <v>12000000</v>
      </c>
      <c r="G38" s="12">
        <v>400</v>
      </c>
      <c r="I38">
        <v>35</v>
      </c>
      <c r="J38" s="95" t="s">
        <v>252</v>
      </c>
      <c r="K38" t="s">
        <v>11</v>
      </c>
      <c r="L38">
        <v>13305</v>
      </c>
      <c r="M38" t="s">
        <v>12</v>
      </c>
      <c r="N38">
        <v>12000000</v>
      </c>
      <c r="O38">
        <v>400</v>
      </c>
      <c r="P38" s="96" t="s">
        <v>32</v>
      </c>
    </row>
    <row r="39" spans="1:16">
      <c r="A39" s="7">
        <v>36</v>
      </c>
      <c r="B39" s="8" t="s">
        <v>32</v>
      </c>
      <c r="C39" s="9" t="s">
        <v>13</v>
      </c>
      <c r="D39" s="10">
        <v>13306</v>
      </c>
      <c r="E39" s="9" t="s">
        <v>14</v>
      </c>
      <c r="F39" s="11">
        <v>7450000</v>
      </c>
      <c r="G39" s="12">
        <v>400</v>
      </c>
      <c r="I39">
        <v>36</v>
      </c>
      <c r="J39" s="95" t="s">
        <v>252</v>
      </c>
      <c r="K39" t="s">
        <v>13</v>
      </c>
      <c r="L39">
        <v>13306</v>
      </c>
      <c r="M39" t="s">
        <v>14</v>
      </c>
      <c r="N39">
        <v>7450000</v>
      </c>
      <c r="O39">
        <v>400</v>
      </c>
      <c r="P39" s="96" t="s">
        <v>32</v>
      </c>
    </row>
    <row r="40" spans="1:16">
      <c r="A40" s="7">
        <v>37</v>
      </c>
      <c r="B40" s="8" t="s">
        <v>32</v>
      </c>
      <c r="C40" s="9" t="s">
        <v>13</v>
      </c>
      <c r="D40" s="10">
        <v>13307</v>
      </c>
      <c r="E40" s="9" t="s">
        <v>33</v>
      </c>
      <c r="F40" s="11">
        <v>7450000</v>
      </c>
      <c r="G40" s="12">
        <v>400</v>
      </c>
      <c r="I40">
        <v>37</v>
      </c>
      <c r="J40" s="95" t="s">
        <v>252</v>
      </c>
      <c r="K40" t="s">
        <v>13</v>
      </c>
      <c r="L40">
        <v>13307</v>
      </c>
      <c r="M40" t="s">
        <v>33</v>
      </c>
      <c r="N40">
        <v>7450000</v>
      </c>
      <c r="O40">
        <v>400</v>
      </c>
      <c r="P40" s="96" t="s">
        <v>32</v>
      </c>
    </row>
    <row r="41" spans="1:16">
      <c r="A41" s="7">
        <v>38</v>
      </c>
      <c r="B41" s="8" t="s">
        <v>34</v>
      </c>
      <c r="C41" s="9" t="s">
        <v>13</v>
      </c>
      <c r="D41" s="10">
        <v>13308</v>
      </c>
      <c r="E41" s="9" t="s">
        <v>14</v>
      </c>
      <c r="F41" s="11">
        <v>7450000</v>
      </c>
      <c r="G41" s="12">
        <v>400</v>
      </c>
      <c r="I41">
        <v>38</v>
      </c>
      <c r="J41" s="95" t="s">
        <v>253</v>
      </c>
      <c r="K41" t="s">
        <v>13</v>
      </c>
      <c r="L41">
        <v>13308</v>
      </c>
      <c r="M41" t="s">
        <v>14</v>
      </c>
      <c r="N41">
        <v>7450000</v>
      </c>
      <c r="O41">
        <v>400</v>
      </c>
      <c r="P41" s="96" t="s">
        <v>34</v>
      </c>
    </row>
    <row r="42" spans="1:16">
      <c r="A42" s="7">
        <v>39</v>
      </c>
      <c r="B42" s="8" t="s">
        <v>34</v>
      </c>
      <c r="C42" s="9" t="s">
        <v>13</v>
      </c>
      <c r="D42" s="10">
        <v>13309</v>
      </c>
      <c r="E42" s="9" t="s">
        <v>14</v>
      </c>
      <c r="F42" s="11">
        <v>7450000</v>
      </c>
      <c r="G42" s="12">
        <v>400</v>
      </c>
      <c r="I42">
        <v>39</v>
      </c>
      <c r="J42" s="95" t="s">
        <v>253</v>
      </c>
      <c r="K42" t="s">
        <v>13</v>
      </c>
      <c r="L42">
        <v>13309</v>
      </c>
      <c r="M42" t="s">
        <v>14</v>
      </c>
      <c r="N42">
        <v>7450000</v>
      </c>
      <c r="O42">
        <v>400</v>
      </c>
      <c r="P42" s="96" t="s">
        <v>34</v>
      </c>
    </row>
    <row r="43" spans="1:16">
      <c r="A43" s="7">
        <v>40</v>
      </c>
      <c r="B43" s="8" t="s">
        <v>34</v>
      </c>
      <c r="C43" s="9" t="s">
        <v>11</v>
      </c>
      <c r="D43" s="10">
        <v>13310</v>
      </c>
      <c r="E43" s="9" t="s">
        <v>12</v>
      </c>
      <c r="F43" s="11">
        <v>12000000</v>
      </c>
      <c r="G43" s="12">
        <v>400</v>
      </c>
      <c r="I43">
        <v>40</v>
      </c>
      <c r="J43" s="95" t="s">
        <v>253</v>
      </c>
      <c r="K43" t="s">
        <v>11</v>
      </c>
      <c r="L43">
        <v>13310</v>
      </c>
      <c r="M43" t="s">
        <v>12</v>
      </c>
      <c r="N43">
        <v>12000000</v>
      </c>
      <c r="O43">
        <v>400</v>
      </c>
      <c r="P43" s="96" t="s">
        <v>34</v>
      </c>
    </row>
    <row r="44" spans="1:16">
      <c r="A44" s="7">
        <v>41</v>
      </c>
      <c r="B44" s="8" t="s">
        <v>34</v>
      </c>
      <c r="C44" s="9" t="s">
        <v>11</v>
      </c>
      <c r="D44" s="10">
        <v>13311</v>
      </c>
      <c r="E44" s="9" t="s">
        <v>12</v>
      </c>
      <c r="F44" s="11">
        <v>12000000</v>
      </c>
      <c r="G44" s="12">
        <v>400</v>
      </c>
      <c r="I44">
        <v>41</v>
      </c>
      <c r="J44" s="95" t="s">
        <v>253</v>
      </c>
      <c r="K44" t="s">
        <v>11</v>
      </c>
      <c r="L44">
        <v>13311</v>
      </c>
      <c r="M44" t="s">
        <v>12</v>
      </c>
      <c r="N44">
        <v>12000000</v>
      </c>
      <c r="O44">
        <v>400</v>
      </c>
      <c r="P44" s="96" t="s">
        <v>34</v>
      </c>
    </row>
    <row r="45" spans="1:16">
      <c r="A45" s="7">
        <v>42</v>
      </c>
      <c r="B45" s="8" t="s">
        <v>34</v>
      </c>
      <c r="C45" s="9" t="s">
        <v>11</v>
      </c>
      <c r="D45" s="10">
        <v>13312</v>
      </c>
      <c r="E45" s="9" t="s">
        <v>12</v>
      </c>
      <c r="F45" s="11">
        <v>12000000</v>
      </c>
      <c r="G45" s="12">
        <v>400</v>
      </c>
      <c r="I45">
        <v>42</v>
      </c>
      <c r="J45" s="95" t="s">
        <v>253</v>
      </c>
      <c r="K45" t="s">
        <v>11</v>
      </c>
      <c r="L45">
        <v>13312</v>
      </c>
      <c r="M45" t="s">
        <v>12</v>
      </c>
      <c r="N45">
        <v>12000000</v>
      </c>
      <c r="O45">
        <v>400</v>
      </c>
      <c r="P45" s="96" t="s">
        <v>34</v>
      </c>
    </row>
    <row r="46" spans="1:16">
      <c r="A46" s="7">
        <v>43</v>
      </c>
      <c r="B46" s="8" t="s">
        <v>35</v>
      </c>
      <c r="C46" s="9" t="s">
        <v>11</v>
      </c>
      <c r="D46" s="10">
        <v>13313</v>
      </c>
      <c r="E46" s="9" t="s">
        <v>12</v>
      </c>
      <c r="F46" s="11">
        <v>12000000</v>
      </c>
      <c r="G46" s="12">
        <v>400</v>
      </c>
      <c r="I46">
        <v>43</v>
      </c>
      <c r="J46" s="95" t="s">
        <v>254</v>
      </c>
      <c r="K46" t="s">
        <v>11</v>
      </c>
      <c r="L46">
        <v>13313</v>
      </c>
      <c r="M46" t="s">
        <v>12</v>
      </c>
      <c r="N46">
        <v>12000000</v>
      </c>
      <c r="O46">
        <v>400</v>
      </c>
      <c r="P46" s="96" t="s">
        <v>35</v>
      </c>
    </row>
    <row r="47" spans="1:16">
      <c r="A47" s="7">
        <v>44</v>
      </c>
      <c r="B47" s="8" t="s">
        <v>35</v>
      </c>
      <c r="C47" s="9" t="s">
        <v>11</v>
      </c>
      <c r="D47" s="10">
        <v>13314</v>
      </c>
      <c r="E47" s="9" t="s">
        <v>12</v>
      </c>
      <c r="F47" s="11">
        <v>12000000</v>
      </c>
      <c r="G47" s="12">
        <v>400</v>
      </c>
      <c r="I47">
        <v>44</v>
      </c>
      <c r="J47" s="95" t="s">
        <v>254</v>
      </c>
      <c r="K47" t="s">
        <v>11</v>
      </c>
      <c r="L47">
        <v>13314</v>
      </c>
      <c r="M47" t="s">
        <v>12</v>
      </c>
      <c r="N47">
        <v>12000000</v>
      </c>
      <c r="O47">
        <v>400</v>
      </c>
      <c r="P47" s="96" t="s">
        <v>35</v>
      </c>
    </row>
    <row r="48" spans="1:16">
      <c r="A48" s="7">
        <v>45</v>
      </c>
      <c r="B48" s="8" t="s">
        <v>36</v>
      </c>
      <c r="C48" s="9" t="s">
        <v>11</v>
      </c>
      <c r="D48" s="10">
        <v>13315</v>
      </c>
      <c r="E48" s="9" t="s">
        <v>12</v>
      </c>
      <c r="F48" s="11">
        <v>12000000</v>
      </c>
      <c r="G48" s="12">
        <v>400</v>
      </c>
      <c r="I48">
        <v>45</v>
      </c>
      <c r="J48" s="95" t="s">
        <v>255</v>
      </c>
      <c r="K48" t="s">
        <v>11</v>
      </c>
      <c r="L48">
        <v>13315</v>
      </c>
      <c r="M48" t="s">
        <v>12</v>
      </c>
      <c r="N48">
        <v>12000000</v>
      </c>
      <c r="O48">
        <v>400</v>
      </c>
      <c r="P48" s="96" t="s">
        <v>36</v>
      </c>
    </row>
    <row r="49" spans="1:16">
      <c r="A49" s="7">
        <v>46</v>
      </c>
      <c r="B49" s="8" t="s">
        <v>36</v>
      </c>
      <c r="C49" s="9" t="s">
        <v>11</v>
      </c>
      <c r="D49" s="10">
        <v>13316</v>
      </c>
      <c r="E49" s="9" t="s">
        <v>12</v>
      </c>
      <c r="F49" s="11">
        <v>12000000</v>
      </c>
      <c r="G49" s="12">
        <v>400</v>
      </c>
      <c r="I49">
        <v>46</v>
      </c>
      <c r="J49" s="95" t="s">
        <v>255</v>
      </c>
      <c r="K49" t="s">
        <v>11</v>
      </c>
      <c r="L49">
        <v>13316</v>
      </c>
      <c r="M49" t="s">
        <v>12</v>
      </c>
      <c r="N49">
        <v>12000000</v>
      </c>
      <c r="O49">
        <v>400</v>
      </c>
      <c r="P49" s="96" t="s">
        <v>36</v>
      </c>
    </row>
    <row r="50" spans="1:16">
      <c r="A50" s="7">
        <v>47</v>
      </c>
      <c r="B50" s="8" t="s">
        <v>36</v>
      </c>
      <c r="C50" s="9" t="s">
        <v>13</v>
      </c>
      <c r="D50" s="10">
        <v>13317</v>
      </c>
      <c r="E50" s="9" t="s">
        <v>14</v>
      </c>
      <c r="F50" s="11">
        <v>7450000</v>
      </c>
      <c r="G50" s="12">
        <v>400</v>
      </c>
      <c r="I50">
        <v>47</v>
      </c>
      <c r="J50" s="95" t="s">
        <v>255</v>
      </c>
      <c r="K50" t="s">
        <v>13</v>
      </c>
      <c r="L50">
        <v>13317</v>
      </c>
      <c r="M50" t="s">
        <v>14</v>
      </c>
      <c r="N50">
        <v>7450000</v>
      </c>
      <c r="O50">
        <v>400</v>
      </c>
      <c r="P50" s="96" t="s">
        <v>36</v>
      </c>
    </row>
    <row r="51" spans="1:16">
      <c r="A51" s="7">
        <v>48</v>
      </c>
      <c r="B51" s="8" t="s">
        <v>36</v>
      </c>
      <c r="C51" s="9" t="s">
        <v>37</v>
      </c>
      <c r="D51" s="10">
        <v>13318</v>
      </c>
      <c r="E51" s="9" t="s">
        <v>25</v>
      </c>
      <c r="F51" s="13">
        <v>13500000</v>
      </c>
      <c r="G51" s="14">
        <v>400</v>
      </c>
      <c r="I51">
        <v>48</v>
      </c>
      <c r="J51" s="95" t="s">
        <v>255</v>
      </c>
      <c r="K51" t="s">
        <v>37</v>
      </c>
      <c r="L51">
        <v>13318</v>
      </c>
      <c r="M51" t="s">
        <v>25</v>
      </c>
      <c r="N51">
        <v>13500000</v>
      </c>
      <c r="O51">
        <v>400</v>
      </c>
      <c r="P51" s="96" t="s">
        <v>36</v>
      </c>
    </row>
    <row r="52" spans="1:16">
      <c r="A52" s="7">
        <v>49</v>
      </c>
      <c r="B52" s="8" t="s">
        <v>38</v>
      </c>
      <c r="C52" s="9" t="s">
        <v>39</v>
      </c>
      <c r="D52" s="10">
        <v>13319</v>
      </c>
      <c r="E52" s="9" t="s">
        <v>40</v>
      </c>
      <c r="F52" s="13">
        <v>13050000</v>
      </c>
      <c r="G52" s="14">
        <v>120</v>
      </c>
      <c r="I52">
        <v>49</v>
      </c>
      <c r="J52" s="95" t="s">
        <v>256</v>
      </c>
      <c r="K52" t="s">
        <v>39</v>
      </c>
      <c r="L52">
        <v>13319</v>
      </c>
      <c r="M52" t="s">
        <v>40</v>
      </c>
      <c r="N52">
        <v>13050000</v>
      </c>
      <c r="O52">
        <v>120</v>
      </c>
      <c r="P52" s="96" t="s">
        <v>38</v>
      </c>
    </row>
    <row r="53" spans="1:16">
      <c r="A53" s="7">
        <v>50</v>
      </c>
      <c r="B53" s="8" t="s">
        <v>38</v>
      </c>
      <c r="C53" s="9" t="s">
        <v>39</v>
      </c>
      <c r="D53" s="10">
        <v>13320</v>
      </c>
      <c r="E53" s="9" t="s">
        <v>40</v>
      </c>
      <c r="F53" s="13">
        <v>13050000</v>
      </c>
      <c r="G53" s="14">
        <v>120</v>
      </c>
      <c r="I53">
        <v>50</v>
      </c>
      <c r="J53" s="95" t="s">
        <v>256</v>
      </c>
      <c r="K53" t="s">
        <v>39</v>
      </c>
      <c r="L53">
        <v>13320</v>
      </c>
      <c r="M53" t="s">
        <v>40</v>
      </c>
      <c r="N53">
        <v>13050000</v>
      </c>
      <c r="O53">
        <v>120</v>
      </c>
      <c r="P53" s="96" t="s">
        <v>38</v>
      </c>
    </row>
    <row r="54" spans="1:16">
      <c r="A54" s="7">
        <v>51</v>
      </c>
      <c r="B54" s="8" t="s">
        <v>38</v>
      </c>
      <c r="C54" s="9" t="s">
        <v>39</v>
      </c>
      <c r="D54" s="10">
        <v>13321</v>
      </c>
      <c r="E54" s="9" t="s">
        <v>40</v>
      </c>
      <c r="F54" s="13">
        <v>13050000</v>
      </c>
      <c r="G54" s="14">
        <v>74</v>
      </c>
      <c r="I54">
        <v>51</v>
      </c>
      <c r="J54" s="95" t="s">
        <v>256</v>
      </c>
      <c r="K54" t="s">
        <v>39</v>
      </c>
      <c r="L54">
        <v>13321</v>
      </c>
      <c r="M54" t="s">
        <v>40</v>
      </c>
      <c r="N54">
        <v>13050000</v>
      </c>
      <c r="O54">
        <v>74</v>
      </c>
      <c r="P54" s="96" t="s">
        <v>38</v>
      </c>
    </row>
    <row r="55" spans="1:16">
      <c r="A55" s="7">
        <v>52</v>
      </c>
      <c r="B55" s="8" t="s">
        <v>38</v>
      </c>
      <c r="C55" s="9" t="s">
        <v>41</v>
      </c>
      <c r="D55" s="10">
        <v>13322</v>
      </c>
      <c r="E55" s="9" t="s">
        <v>40</v>
      </c>
      <c r="F55" s="13">
        <v>13050000</v>
      </c>
      <c r="G55" s="14">
        <v>46</v>
      </c>
      <c r="I55">
        <v>52</v>
      </c>
      <c r="J55" s="95" t="s">
        <v>256</v>
      </c>
      <c r="K55" t="s">
        <v>41</v>
      </c>
      <c r="L55">
        <v>13322</v>
      </c>
      <c r="M55" t="s">
        <v>40</v>
      </c>
      <c r="N55">
        <v>13050000</v>
      </c>
      <c r="O55">
        <v>46</v>
      </c>
      <c r="P55" s="96" t="s">
        <v>38</v>
      </c>
    </row>
    <row r="56" spans="1:16">
      <c r="A56" s="7">
        <v>53</v>
      </c>
      <c r="B56" s="8" t="s">
        <v>38</v>
      </c>
      <c r="C56" s="9" t="s">
        <v>41</v>
      </c>
      <c r="D56" s="10">
        <v>13323</v>
      </c>
      <c r="E56" s="9" t="s">
        <v>40</v>
      </c>
      <c r="F56" s="13">
        <v>13050000</v>
      </c>
      <c r="G56" s="14">
        <v>120</v>
      </c>
      <c r="I56">
        <v>53</v>
      </c>
      <c r="J56" s="95" t="s">
        <v>256</v>
      </c>
      <c r="K56" t="s">
        <v>41</v>
      </c>
      <c r="L56">
        <v>13323</v>
      </c>
      <c r="M56" t="s">
        <v>40</v>
      </c>
      <c r="N56">
        <v>13050000</v>
      </c>
      <c r="O56">
        <v>120</v>
      </c>
      <c r="P56" s="96" t="s">
        <v>38</v>
      </c>
    </row>
    <row r="57" spans="1:16">
      <c r="A57" s="7">
        <v>54</v>
      </c>
      <c r="B57" s="8" t="s">
        <v>38</v>
      </c>
      <c r="C57" s="9" t="s">
        <v>11</v>
      </c>
      <c r="D57" s="10">
        <v>13324</v>
      </c>
      <c r="E57" s="9" t="s">
        <v>12</v>
      </c>
      <c r="F57" s="11">
        <v>12000000</v>
      </c>
      <c r="G57" s="12">
        <v>400</v>
      </c>
      <c r="I57">
        <v>54</v>
      </c>
      <c r="J57" s="95" t="s">
        <v>256</v>
      </c>
      <c r="K57" t="s">
        <v>11</v>
      </c>
      <c r="L57">
        <v>13324</v>
      </c>
      <c r="M57" t="s">
        <v>12</v>
      </c>
      <c r="N57">
        <v>12000000</v>
      </c>
      <c r="O57">
        <v>400</v>
      </c>
      <c r="P57" s="96" t="s">
        <v>38</v>
      </c>
    </row>
    <row r="58" spans="1:16">
      <c r="A58" s="7">
        <v>55</v>
      </c>
      <c r="B58" s="8" t="s">
        <v>38</v>
      </c>
      <c r="C58" s="9" t="s">
        <v>11</v>
      </c>
      <c r="D58" s="10">
        <v>13325</v>
      </c>
      <c r="E58" s="9" t="s">
        <v>12</v>
      </c>
      <c r="F58" s="11">
        <v>12000000</v>
      </c>
      <c r="G58" s="12">
        <v>400</v>
      </c>
      <c r="I58">
        <v>55</v>
      </c>
      <c r="J58" s="95" t="s">
        <v>256</v>
      </c>
      <c r="K58" t="s">
        <v>11</v>
      </c>
      <c r="L58">
        <v>13325</v>
      </c>
      <c r="M58" t="s">
        <v>12</v>
      </c>
      <c r="N58">
        <v>12000000</v>
      </c>
      <c r="O58">
        <v>400</v>
      </c>
      <c r="P58" s="96" t="s">
        <v>38</v>
      </c>
    </row>
    <row r="59" spans="1:16">
      <c r="A59" s="7">
        <v>56</v>
      </c>
      <c r="B59" s="8" t="s">
        <v>42</v>
      </c>
      <c r="C59" s="9" t="s">
        <v>11</v>
      </c>
      <c r="D59" s="10">
        <v>13326</v>
      </c>
      <c r="E59" s="9" t="s">
        <v>12</v>
      </c>
      <c r="F59" s="11">
        <v>12000000</v>
      </c>
      <c r="G59" s="12">
        <v>400</v>
      </c>
      <c r="I59">
        <v>56</v>
      </c>
      <c r="J59" s="95" t="s">
        <v>257</v>
      </c>
      <c r="K59" t="s">
        <v>11</v>
      </c>
      <c r="L59">
        <v>13326</v>
      </c>
      <c r="M59" t="s">
        <v>12</v>
      </c>
      <c r="N59">
        <v>12000000</v>
      </c>
      <c r="O59">
        <v>400</v>
      </c>
      <c r="P59" s="96" t="s">
        <v>42</v>
      </c>
    </row>
    <row r="60" spans="1:16">
      <c r="A60" s="7">
        <v>57</v>
      </c>
      <c r="B60" s="8" t="s">
        <v>42</v>
      </c>
      <c r="C60" s="9" t="s">
        <v>11</v>
      </c>
      <c r="D60" s="10">
        <v>13327</v>
      </c>
      <c r="E60" s="9" t="s">
        <v>12</v>
      </c>
      <c r="F60" s="11">
        <v>12000000</v>
      </c>
      <c r="G60" s="12">
        <v>400</v>
      </c>
      <c r="I60">
        <v>57</v>
      </c>
      <c r="J60" s="95" t="s">
        <v>257</v>
      </c>
      <c r="K60" t="s">
        <v>11</v>
      </c>
      <c r="L60">
        <v>13327</v>
      </c>
      <c r="M60" t="s">
        <v>12</v>
      </c>
      <c r="N60">
        <v>12000000</v>
      </c>
      <c r="O60">
        <v>400</v>
      </c>
      <c r="P60" s="96" t="s">
        <v>42</v>
      </c>
    </row>
    <row r="61" spans="1:16" ht="15.75" thickBot="1">
      <c r="A61" s="100" t="s">
        <v>43</v>
      </c>
      <c r="B61" s="101"/>
      <c r="C61" s="101"/>
      <c r="D61" s="101"/>
      <c r="E61" s="101"/>
      <c r="F61" s="101"/>
      <c r="G61" s="15">
        <f>SUM(G4:G60)</f>
        <v>20921</v>
      </c>
      <c r="J61" s="95"/>
      <c r="P61" s="96"/>
    </row>
    <row r="62" spans="1:16" ht="15.75" thickBot="1">
      <c r="J62" s="95"/>
      <c r="P62" s="96"/>
    </row>
    <row r="63" spans="1:16">
      <c r="A63" s="102" t="s">
        <v>0</v>
      </c>
      <c r="B63" s="103"/>
      <c r="C63" s="103"/>
      <c r="D63" s="103"/>
      <c r="E63" s="103"/>
      <c r="F63" s="103"/>
      <c r="G63" s="104"/>
      <c r="J63" s="95"/>
      <c r="P63" s="96"/>
    </row>
    <row r="64" spans="1:16" ht="15.75" thickBot="1">
      <c r="A64" s="105" t="s">
        <v>44</v>
      </c>
      <c r="B64" s="106"/>
      <c r="C64" s="106"/>
      <c r="D64" s="106"/>
      <c r="E64" s="106"/>
      <c r="F64" s="106"/>
      <c r="G64" s="107"/>
      <c r="J64" s="95"/>
      <c r="P64" s="96"/>
    </row>
    <row r="65" spans="1:16" ht="15.75" thickBot="1">
      <c r="A65" s="108" t="s">
        <v>45</v>
      </c>
      <c r="B65" s="109"/>
      <c r="C65" s="109"/>
      <c r="D65" s="109"/>
      <c r="E65" s="109"/>
      <c r="F65" s="110"/>
      <c r="G65" s="16">
        <v>20921</v>
      </c>
      <c r="J65" s="95"/>
      <c r="P65" s="96"/>
    </row>
    <row r="66" spans="1:16">
      <c r="A66" s="1" t="s">
        <v>1</v>
      </c>
      <c r="B66" s="2" t="s">
        <v>2</v>
      </c>
      <c r="C66" s="3" t="s">
        <v>3</v>
      </c>
      <c r="D66" s="4" t="s">
        <v>4</v>
      </c>
      <c r="E66" s="5" t="s">
        <v>5</v>
      </c>
      <c r="F66" s="5" t="s">
        <v>6</v>
      </c>
      <c r="G66" s="6" t="s">
        <v>7</v>
      </c>
      <c r="J66" s="95"/>
      <c r="P66" s="96" t="s">
        <v>2</v>
      </c>
    </row>
    <row r="67" spans="1:16">
      <c r="A67" s="7">
        <v>1</v>
      </c>
      <c r="B67" s="8" t="s">
        <v>46</v>
      </c>
      <c r="C67" s="9" t="s">
        <v>13</v>
      </c>
      <c r="D67" s="10">
        <v>13329</v>
      </c>
      <c r="E67" s="9" t="s">
        <v>14</v>
      </c>
      <c r="F67" s="11">
        <v>7450000</v>
      </c>
      <c r="G67" s="12">
        <v>400</v>
      </c>
      <c r="I67">
        <v>1</v>
      </c>
      <c r="J67" s="95" t="s">
        <v>258</v>
      </c>
      <c r="K67" t="s">
        <v>13</v>
      </c>
      <c r="L67">
        <v>13329</v>
      </c>
      <c r="M67" t="s">
        <v>14</v>
      </c>
      <c r="N67">
        <v>7450000</v>
      </c>
      <c r="O67">
        <v>400</v>
      </c>
      <c r="P67" s="96" t="s">
        <v>46</v>
      </c>
    </row>
    <row r="68" spans="1:16">
      <c r="A68" s="7">
        <v>2</v>
      </c>
      <c r="B68" s="8" t="s">
        <v>46</v>
      </c>
      <c r="C68" s="9" t="s">
        <v>28</v>
      </c>
      <c r="D68" s="10">
        <v>13330</v>
      </c>
      <c r="E68" s="9" t="s">
        <v>29</v>
      </c>
      <c r="F68" s="13">
        <v>11900000</v>
      </c>
      <c r="G68" s="14">
        <v>100</v>
      </c>
      <c r="I68">
        <v>2</v>
      </c>
      <c r="J68" s="95" t="s">
        <v>258</v>
      </c>
      <c r="K68" t="s">
        <v>28</v>
      </c>
      <c r="L68">
        <v>13330</v>
      </c>
      <c r="M68" t="s">
        <v>29</v>
      </c>
      <c r="N68">
        <v>11900000</v>
      </c>
      <c r="O68">
        <v>100</v>
      </c>
      <c r="P68" s="96" t="s">
        <v>46</v>
      </c>
    </row>
    <row r="69" spans="1:16">
      <c r="A69" s="7">
        <v>3</v>
      </c>
      <c r="B69" s="8" t="s">
        <v>47</v>
      </c>
      <c r="C69" s="9" t="s">
        <v>48</v>
      </c>
      <c r="D69" s="10">
        <v>13331</v>
      </c>
      <c r="E69" s="9" t="s">
        <v>49</v>
      </c>
      <c r="F69" s="13">
        <v>13000000</v>
      </c>
      <c r="G69" s="14">
        <v>100</v>
      </c>
      <c r="I69">
        <v>3</v>
      </c>
      <c r="J69" s="95" t="s">
        <v>259</v>
      </c>
      <c r="K69" t="s">
        <v>48</v>
      </c>
      <c r="L69">
        <v>13331</v>
      </c>
      <c r="M69" t="s">
        <v>49</v>
      </c>
      <c r="N69">
        <v>13000000</v>
      </c>
      <c r="O69">
        <v>100</v>
      </c>
      <c r="P69" s="96" t="s">
        <v>47</v>
      </c>
    </row>
    <row r="70" spans="1:16">
      <c r="A70" s="7">
        <v>4</v>
      </c>
      <c r="B70" s="8" t="s">
        <v>47</v>
      </c>
      <c r="C70" s="9" t="s">
        <v>11</v>
      </c>
      <c r="D70" s="10">
        <v>13332</v>
      </c>
      <c r="E70" s="9" t="s">
        <v>12</v>
      </c>
      <c r="F70" s="11">
        <v>12000000</v>
      </c>
      <c r="G70" s="12">
        <v>400</v>
      </c>
      <c r="I70">
        <v>4</v>
      </c>
      <c r="J70" s="95" t="s">
        <v>259</v>
      </c>
      <c r="K70" t="s">
        <v>11</v>
      </c>
      <c r="L70">
        <v>13332</v>
      </c>
      <c r="M70" t="s">
        <v>12</v>
      </c>
      <c r="N70">
        <v>12000000</v>
      </c>
      <c r="O70">
        <v>400</v>
      </c>
      <c r="P70" s="96" t="s">
        <v>47</v>
      </c>
    </row>
    <row r="71" spans="1:16">
      <c r="A71" s="7">
        <v>5</v>
      </c>
      <c r="B71" s="8" t="s">
        <v>47</v>
      </c>
      <c r="C71" s="9" t="s">
        <v>11</v>
      </c>
      <c r="D71" s="10">
        <v>13333</v>
      </c>
      <c r="E71" s="9" t="s">
        <v>12</v>
      </c>
      <c r="F71" s="11">
        <v>12000000</v>
      </c>
      <c r="G71" s="12">
        <v>400</v>
      </c>
      <c r="I71">
        <v>5</v>
      </c>
      <c r="J71" s="95" t="s">
        <v>259</v>
      </c>
      <c r="K71" t="s">
        <v>11</v>
      </c>
      <c r="L71">
        <v>13333</v>
      </c>
      <c r="M71" t="s">
        <v>12</v>
      </c>
      <c r="N71">
        <v>12000000</v>
      </c>
      <c r="O71">
        <v>400</v>
      </c>
      <c r="P71" s="96" t="s">
        <v>47</v>
      </c>
    </row>
    <row r="72" spans="1:16">
      <c r="A72" s="7">
        <v>6</v>
      </c>
      <c r="B72" s="8" t="s">
        <v>47</v>
      </c>
      <c r="C72" s="9" t="s">
        <v>13</v>
      </c>
      <c r="D72" s="10">
        <v>13334</v>
      </c>
      <c r="E72" s="9" t="s">
        <v>14</v>
      </c>
      <c r="F72" s="11">
        <v>7450000</v>
      </c>
      <c r="G72" s="12">
        <v>400</v>
      </c>
      <c r="I72">
        <v>6</v>
      </c>
      <c r="J72" s="95" t="s">
        <v>259</v>
      </c>
      <c r="K72" t="s">
        <v>13</v>
      </c>
      <c r="L72">
        <v>13334</v>
      </c>
      <c r="M72" t="s">
        <v>14</v>
      </c>
      <c r="N72">
        <v>7450000</v>
      </c>
      <c r="O72">
        <v>400</v>
      </c>
      <c r="P72" s="96" t="s">
        <v>47</v>
      </c>
    </row>
    <row r="73" spans="1:16">
      <c r="A73" s="7">
        <v>7</v>
      </c>
      <c r="B73" s="8" t="s">
        <v>47</v>
      </c>
      <c r="C73" s="9" t="s">
        <v>50</v>
      </c>
      <c r="D73" s="10">
        <v>13335</v>
      </c>
      <c r="E73" s="9" t="s">
        <v>51</v>
      </c>
      <c r="F73" s="11">
        <v>12500000</v>
      </c>
      <c r="G73" s="14">
        <v>400</v>
      </c>
      <c r="I73">
        <v>7</v>
      </c>
      <c r="J73" s="95" t="s">
        <v>259</v>
      </c>
      <c r="K73" t="s">
        <v>50</v>
      </c>
      <c r="L73">
        <v>13335</v>
      </c>
      <c r="M73" t="s">
        <v>51</v>
      </c>
      <c r="N73">
        <v>12500000</v>
      </c>
      <c r="O73">
        <v>400</v>
      </c>
      <c r="P73" s="96" t="s">
        <v>47</v>
      </c>
    </row>
    <row r="74" spans="1:16">
      <c r="A74" s="7">
        <v>8</v>
      </c>
      <c r="B74" s="8" t="s">
        <v>47</v>
      </c>
      <c r="C74" s="9" t="s">
        <v>50</v>
      </c>
      <c r="D74" s="10">
        <v>13336</v>
      </c>
      <c r="E74" s="9" t="s">
        <v>51</v>
      </c>
      <c r="F74" s="11">
        <v>12500000</v>
      </c>
      <c r="G74" s="14">
        <v>400</v>
      </c>
      <c r="I74">
        <v>8</v>
      </c>
      <c r="J74" s="95" t="s">
        <v>259</v>
      </c>
      <c r="K74" t="s">
        <v>50</v>
      </c>
      <c r="L74">
        <v>13336</v>
      </c>
      <c r="M74" t="s">
        <v>51</v>
      </c>
      <c r="N74">
        <v>12500000</v>
      </c>
      <c r="O74">
        <v>400</v>
      </c>
      <c r="P74" s="96" t="s">
        <v>47</v>
      </c>
    </row>
    <row r="75" spans="1:16">
      <c r="A75" s="7">
        <v>9</v>
      </c>
      <c r="B75" s="8" t="s">
        <v>52</v>
      </c>
      <c r="C75" s="9" t="s">
        <v>11</v>
      </c>
      <c r="D75" s="10">
        <v>13337</v>
      </c>
      <c r="E75" s="9" t="s">
        <v>53</v>
      </c>
      <c r="F75" s="13">
        <v>13000000</v>
      </c>
      <c r="G75" s="14">
        <v>400</v>
      </c>
      <c r="I75">
        <v>9</v>
      </c>
      <c r="J75" s="95" t="s">
        <v>260</v>
      </c>
      <c r="K75" t="s">
        <v>11</v>
      </c>
      <c r="L75">
        <v>13337</v>
      </c>
      <c r="M75" t="s">
        <v>53</v>
      </c>
      <c r="N75">
        <v>13000000</v>
      </c>
      <c r="O75">
        <v>400</v>
      </c>
      <c r="P75" s="96" t="s">
        <v>52</v>
      </c>
    </row>
    <row r="76" spans="1:16">
      <c r="A76" s="7">
        <v>10</v>
      </c>
      <c r="B76" s="8" t="s">
        <v>52</v>
      </c>
      <c r="C76" s="9" t="s">
        <v>11</v>
      </c>
      <c r="D76" s="10">
        <v>13341</v>
      </c>
      <c r="E76" s="9" t="s">
        <v>12</v>
      </c>
      <c r="F76" s="11">
        <v>12000000</v>
      </c>
      <c r="G76" s="12">
        <v>400</v>
      </c>
      <c r="I76">
        <v>10</v>
      </c>
      <c r="J76" s="95" t="s">
        <v>260</v>
      </c>
      <c r="K76" t="s">
        <v>11</v>
      </c>
      <c r="L76">
        <v>13341</v>
      </c>
      <c r="M76" t="s">
        <v>12</v>
      </c>
      <c r="N76">
        <v>12000000</v>
      </c>
      <c r="O76">
        <v>400</v>
      </c>
      <c r="P76" s="96" t="s">
        <v>52</v>
      </c>
    </row>
    <row r="77" spans="1:16">
      <c r="A77" s="7">
        <v>11</v>
      </c>
      <c r="B77" s="8" t="s">
        <v>52</v>
      </c>
      <c r="C77" s="9" t="s">
        <v>11</v>
      </c>
      <c r="D77" s="10">
        <v>13342</v>
      </c>
      <c r="E77" s="9" t="s">
        <v>12</v>
      </c>
      <c r="F77" s="11">
        <v>12000000</v>
      </c>
      <c r="G77" s="12">
        <v>400</v>
      </c>
      <c r="I77">
        <v>11</v>
      </c>
      <c r="J77" s="95" t="s">
        <v>260</v>
      </c>
      <c r="K77" t="s">
        <v>11</v>
      </c>
      <c r="L77">
        <v>13342</v>
      </c>
      <c r="M77" t="s">
        <v>12</v>
      </c>
      <c r="N77">
        <v>12000000</v>
      </c>
      <c r="O77">
        <v>400</v>
      </c>
      <c r="P77" s="96" t="s">
        <v>52</v>
      </c>
    </row>
    <row r="78" spans="1:16">
      <c r="A78" s="7">
        <v>12</v>
      </c>
      <c r="B78" s="8" t="s">
        <v>52</v>
      </c>
      <c r="C78" s="9" t="s">
        <v>54</v>
      </c>
      <c r="D78" s="10">
        <v>13343</v>
      </c>
      <c r="E78" s="9" t="s">
        <v>51</v>
      </c>
      <c r="F78" s="13">
        <v>13000000</v>
      </c>
      <c r="G78" s="14">
        <v>10</v>
      </c>
      <c r="I78">
        <v>12</v>
      </c>
      <c r="J78" s="95" t="s">
        <v>260</v>
      </c>
      <c r="K78" t="s">
        <v>54</v>
      </c>
      <c r="L78">
        <v>13343</v>
      </c>
      <c r="M78" t="s">
        <v>51</v>
      </c>
      <c r="N78">
        <v>13000000</v>
      </c>
      <c r="O78">
        <v>10</v>
      </c>
      <c r="P78" s="96" t="s">
        <v>52</v>
      </c>
    </row>
    <row r="79" spans="1:16">
      <c r="A79" s="7">
        <v>13</v>
      </c>
      <c r="B79" s="8" t="s">
        <v>55</v>
      </c>
      <c r="C79" s="9" t="s">
        <v>13</v>
      </c>
      <c r="D79" s="10">
        <v>13340</v>
      </c>
      <c r="E79" s="9" t="s">
        <v>25</v>
      </c>
      <c r="F79" s="11">
        <v>7450000</v>
      </c>
      <c r="G79" s="12">
        <v>400</v>
      </c>
      <c r="I79">
        <v>13</v>
      </c>
      <c r="J79" s="95" t="s">
        <v>261</v>
      </c>
      <c r="K79" t="s">
        <v>13</v>
      </c>
      <c r="L79">
        <v>13340</v>
      </c>
      <c r="M79" t="s">
        <v>25</v>
      </c>
      <c r="N79">
        <v>7450000</v>
      </c>
      <c r="O79">
        <v>400</v>
      </c>
      <c r="P79" s="96" t="s">
        <v>55</v>
      </c>
    </row>
    <row r="80" spans="1:16">
      <c r="A80" s="7">
        <v>14</v>
      </c>
      <c r="B80" s="8" t="s">
        <v>55</v>
      </c>
      <c r="C80" s="9" t="s">
        <v>9</v>
      </c>
      <c r="D80" s="10">
        <v>13344</v>
      </c>
      <c r="E80" s="9" t="s">
        <v>17</v>
      </c>
      <c r="F80" s="13">
        <v>11700000</v>
      </c>
      <c r="G80" s="14">
        <v>400</v>
      </c>
      <c r="I80">
        <v>14</v>
      </c>
      <c r="J80" s="95" t="s">
        <v>261</v>
      </c>
      <c r="K80" t="s">
        <v>9</v>
      </c>
      <c r="L80">
        <v>13344</v>
      </c>
      <c r="M80" t="s">
        <v>17</v>
      </c>
      <c r="N80">
        <v>11700000</v>
      </c>
      <c r="O80">
        <v>400</v>
      </c>
      <c r="P80" s="96" t="s">
        <v>55</v>
      </c>
    </row>
    <row r="81" spans="1:16">
      <c r="A81" s="7">
        <v>15</v>
      </c>
      <c r="B81" s="8" t="s">
        <v>55</v>
      </c>
      <c r="C81" s="9" t="s">
        <v>11</v>
      </c>
      <c r="D81" s="10">
        <v>13345</v>
      </c>
      <c r="E81" s="9" t="s">
        <v>12</v>
      </c>
      <c r="F81" s="11">
        <v>12000000</v>
      </c>
      <c r="G81" s="14">
        <v>397</v>
      </c>
      <c r="I81">
        <v>15</v>
      </c>
      <c r="J81" s="95" t="s">
        <v>261</v>
      </c>
      <c r="K81" t="s">
        <v>11</v>
      </c>
      <c r="L81">
        <v>13345</v>
      </c>
      <c r="M81" t="s">
        <v>12</v>
      </c>
      <c r="N81">
        <v>12000000</v>
      </c>
      <c r="O81">
        <v>397</v>
      </c>
      <c r="P81" s="96" t="s">
        <v>55</v>
      </c>
    </row>
    <row r="82" spans="1:16">
      <c r="A82" s="7">
        <v>16</v>
      </c>
      <c r="B82" s="8" t="s">
        <v>55</v>
      </c>
      <c r="C82" s="9" t="s">
        <v>9</v>
      </c>
      <c r="D82" s="10">
        <v>13346</v>
      </c>
      <c r="E82" s="9" t="s">
        <v>17</v>
      </c>
      <c r="F82" s="13">
        <v>11700000</v>
      </c>
      <c r="G82" s="14">
        <v>400</v>
      </c>
      <c r="I82">
        <v>16</v>
      </c>
      <c r="J82" s="95" t="s">
        <v>261</v>
      </c>
      <c r="K82" t="s">
        <v>9</v>
      </c>
      <c r="L82">
        <v>13346</v>
      </c>
      <c r="M82" t="s">
        <v>17</v>
      </c>
      <c r="N82">
        <v>11700000</v>
      </c>
      <c r="O82">
        <v>400</v>
      </c>
      <c r="P82" s="96" t="s">
        <v>55</v>
      </c>
    </row>
    <row r="83" spans="1:16">
      <c r="A83" s="7">
        <v>17</v>
      </c>
      <c r="B83" s="8" t="s">
        <v>56</v>
      </c>
      <c r="C83" s="9" t="s">
        <v>9</v>
      </c>
      <c r="D83" s="10">
        <v>13348</v>
      </c>
      <c r="E83" s="9" t="s">
        <v>10</v>
      </c>
      <c r="F83" s="13">
        <v>9960000</v>
      </c>
      <c r="G83" s="14">
        <v>399</v>
      </c>
      <c r="I83">
        <v>17</v>
      </c>
      <c r="J83" s="95" t="s">
        <v>262</v>
      </c>
      <c r="K83" t="s">
        <v>9</v>
      </c>
      <c r="L83">
        <v>13348</v>
      </c>
      <c r="M83" t="s">
        <v>10</v>
      </c>
      <c r="N83">
        <v>9960000</v>
      </c>
      <c r="O83">
        <v>399</v>
      </c>
      <c r="P83" s="96" t="s">
        <v>56</v>
      </c>
    </row>
    <row r="84" spans="1:16">
      <c r="A84" s="7">
        <v>18</v>
      </c>
      <c r="B84" s="8" t="s">
        <v>56</v>
      </c>
      <c r="C84" s="9" t="s">
        <v>13</v>
      </c>
      <c r="D84" s="10">
        <v>13350</v>
      </c>
      <c r="E84" s="9" t="s">
        <v>14</v>
      </c>
      <c r="F84" s="11">
        <v>7450000</v>
      </c>
      <c r="G84" s="12">
        <v>400</v>
      </c>
      <c r="I84">
        <v>18</v>
      </c>
      <c r="J84" s="95" t="s">
        <v>262</v>
      </c>
      <c r="K84" t="s">
        <v>13</v>
      </c>
      <c r="L84">
        <v>13350</v>
      </c>
      <c r="M84" t="s">
        <v>14</v>
      </c>
      <c r="N84">
        <v>7450000</v>
      </c>
      <c r="O84">
        <v>400</v>
      </c>
      <c r="P84" s="96" t="s">
        <v>56</v>
      </c>
    </row>
    <row r="85" spans="1:16">
      <c r="A85" s="7">
        <v>19</v>
      </c>
      <c r="B85" s="8" t="s">
        <v>56</v>
      </c>
      <c r="C85" s="9" t="s">
        <v>13</v>
      </c>
      <c r="D85" s="10">
        <v>13351</v>
      </c>
      <c r="E85" s="9" t="s">
        <v>14</v>
      </c>
      <c r="F85" s="11">
        <v>7450000</v>
      </c>
      <c r="G85" s="12">
        <v>400</v>
      </c>
      <c r="I85">
        <v>19</v>
      </c>
      <c r="J85" s="95" t="s">
        <v>262</v>
      </c>
      <c r="K85" t="s">
        <v>13</v>
      </c>
      <c r="L85">
        <v>13351</v>
      </c>
      <c r="M85" t="s">
        <v>14</v>
      </c>
      <c r="N85">
        <v>7450000</v>
      </c>
      <c r="O85">
        <v>400</v>
      </c>
      <c r="P85" s="96" t="s">
        <v>56</v>
      </c>
    </row>
    <row r="86" spans="1:16">
      <c r="A86" s="7">
        <v>20</v>
      </c>
      <c r="B86" s="8" t="s">
        <v>56</v>
      </c>
      <c r="C86" s="9" t="s">
        <v>28</v>
      </c>
      <c r="D86" s="10">
        <v>13354</v>
      </c>
      <c r="E86" s="9" t="s">
        <v>10</v>
      </c>
      <c r="F86" s="13">
        <v>11900000</v>
      </c>
      <c r="G86" s="14">
        <v>120</v>
      </c>
      <c r="I86">
        <v>20</v>
      </c>
      <c r="J86" s="95" t="s">
        <v>262</v>
      </c>
      <c r="K86" t="s">
        <v>28</v>
      </c>
      <c r="L86">
        <v>13354</v>
      </c>
      <c r="M86" t="s">
        <v>10</v>
      </c>
      <c r="N86">
        <v>11900000</v>
      </c>
      <c r="O86">
        <v>120</v>
      </c>
      <c r="P86" s="96" t="s">
        <v>56</v>
      </c>
    </row>
    <row r="87" spans="1:16">
      <c r="A87" s="7">
        <v>21</v>
      </c>
      <c r="B87" s="8" t="s">
        <v>56</v>
      </c>
      <c r="C87" s="9" t="s">
        <v>28</v>
      </c>
      <c r="D87" s="10">
        <v>13355</v>
      </c>
      <c r="E87" s="9" t="s">
        <v>10</v>
      </c>
      <c r="F87" s="13">
        <v>11900000</v>
      </c>
      <c r="G87" s="14">
        <v>47</v>
      </c>
      <c r="I87">
        <v>21</v>
      </c>
      <c r="J87" s="95" t="s">
        <v>262</v>
      </c>
      <c r="K87" t="s">
        <v>28</v>
      </c>
      <c r="L87">
        <v>13355</v>
      </c>
      <c r="M87" t="s">
        <v>10</v>
      </c>
      <c r="N87">
        <v>11900000</v>
      </c>
      <c r="O87">
        <v>47</v>
      </c>
      <c r="P87" s="96" t="s">
        <v>56</v>
      </c>
    </row>
    <row r="88" spans="1:16">
      <c r="A88" s="7">
        <v>22</v>
      </c>
      <c r="B88" s="8" t="s">
        <v>57</v>
      </c>
      <c r="C88" s="9" t="s">
        <v>37</v>
      </c>
      <c r="D88" s="10">
        <v>13339</v>
      </c>
      <c r="E88" s="9" t="s">
        <v>25</v>
      </c>
      <c r="F88" s="13">
        <v>13500000</v>
      </c>
      <c r="G88" s="14">
        <v>400</v>
      </c>
      <c r="I88">
        <v>22</v>
      </c>
      <c r="J88" s="95" t="s">
        <v>263</v>
      </c>
      <c r="K88" t="s">
        <v>37</v>
      </c>
      <c r="L88">
        <v>13339</v>
      </c>
      <c r="M88" t="s">
        <v>25</v>
      </c>
      <c r="N88">
        <v>13500000</v>
      </c>
      <c r="O88">
        <v>400</v>
      </c>
      <c r="P88" s="96" t="s">
        <v>57</v>
      </c>
    </row>
    <row r="89" spans="1:16">
      <c r="A89" s="7">
        <v>23</v>
      </c>
      <c r="B89" s="8" t="s">
        <v>57</v>
      </c>
      <c r="C89" s="9" t="s">
        <v>9</v>
      </c>
      <c r="D89" s="10">
        <v>13349</v>
      </c>
      <c r="E89" s="9" t="s">
        <v>10</v>
      </c>
      <c r="F89" s="13">
        <v>9960000</v>
      </c>
      <c r="G89" s="14">
        <v>400</v>
      </c>
      <c r="I89">
        <v>23</v>
      </c>
      <c r="J89" s="95" t="s">
        <v>263</v>
      </c>
      <c r="K89" t="s">
        <v>9</v>
      </c>
      <c r="L89">
        <v>13349</v>
      </c>
      <c r="M89" t="s">
        <v>10</v>
      </c>
      <c r="N89">
        <v>9960000</v>
      </c>
      <c r="O89">
        <v>400</v>
      </c>
      <c r="P89" s="96" t="s">
        <v>57</v>
      </c>
    </row>
    <row r="90" spans="1:16">
      <c r="A90" s="7">
        <v>24</v>
      </c>
      <c r="B90" s="8" t="s">
        <v>57</v>
      </c>
      <c r="C90" s="9" t="s">
        <v>11</v>
      </c>
      <c r="D90" s="10">
        <v>13356</v>
      </c>
      <c r="E90" s="9" t="s">
        <v>12</v>
      </c>
      <c r="F90" s="11">
        <v>12000000</v>
      </c>
      <c r="G90" s="12">
        <v>400</v>
      </c>
      <c r="I90">
        <v>24</v>
      </c>
      <c r="J90" s="95" t="s">
        <v>263</v>
      </c>
      <c r="K90" t="s">
        <v>11</v>
      </c>
      <c r="L90">
        <v>13356</v>
      </c>
      <c r="M90" t="s">
        <v>12</v>
      </c>
      <c r="N90">
        <v>12000000</v>
      </c>
      <c r="O90">
        <v>400</v>
      </c>
      <c r="P90" s="96" t="s">
        <v>57</v>
      </c>
    </row>
    <row r="91" spans="1:16">
      <c r="A91" s="7">
        <v>25</v>
      </c>
      <c r="B91" s="8" t="s">
        <v>57</v>
      </c>
      <c r="C91" s="9" t="s">
        <v>11</v>
      </c>
      <c r="D91" s="10">
        <v>13357</v>
      </c>
      <c r="E91" s="9" t="s">
        <v>12</v>
      </c>
      <c r="F91" s="11">
        <v>12000000</v>
      </c>
      <c r="G91" s="12">
        <v>400</v>
      </c>
      <c r="I91">
        <v>25</v>
      </c>
      <c r="J91" s="95" t="s">
        <v>263</v>
      </c>
      <c r="K91" t="s">
        <v>11</v>
      </c>
      <c r="L91">
        <v>13357</v>
      </c>
      <c r="M91" t="s">
        <v>12</v>
      </c>
      <c r="N91">
        <v>12000000</v>
      </c>
      <c r="O91">
        <v>400</v>
      </c>
      <c r="P91" s="96" t="s">
        <v>57</v>
      </c>
    </row>
    <row r="92" spans="1:16">
      <c r="A92" s="7">
        <v>26</v>
      </c>
      <c r="B92" s="8" t="s">
        <v>57</v>
      </c>
      <c r="C92" s="9" t="s">
        <v>11</v>
      </c>
      <c r="D92" s="10">
        <v>13358</v>
      </c>
      <c r="E92" s="9" t="s">
        <v>12</v>
      </c>
      <c r="F92" s="11">
        <v>12000000</v>
      </c>
      <c r="G92" s="12">
        <v>400</v>
      </c>
      <c r="I92">
        <v>26</v>
      </c>
      <c r="J92" s="95" t="s">
        <v>263</v>
      </c>
      <c r="K92" t="s">
        <v>11</v>
      </c>
      <c r="L92">
        <v>13358</v>
      </c>
      <c r="M92" t="s">
        <v>12</v>
      </c>
      <c r="N92">
        <v>12000000</v>
      </c>
      <c r="O92">
        <v>400</v>
      </c>
      <c r="P92" s="96" t="s">
        <v>57</v>
      </c>
    </row>
    <row r="93" spans="1:16">
      <c r="A93" s="7">
        <v>27</v>
      </c>
      <c r="B93" s="8" t="s">
        <v>58</v>
      </c>
      <c r="C93" s="9" t="s">
        <v>9</v>
      </c>
      <c r="D93" s="10">
        <v>13359</v>
      </c>
      <c r="E93" s="9" t="s">
        <v>17</v>
      </c>
      <c r="F93" s="13">
        <v>11700000</v>
      </c>
      <c r="G93" s="14">
        <v>400</v>
      </c>
      <c r="I93">
        <v>27</v>
      </c>
      <c r="J93" s="95" t="s">
        <v>264</v>
      </c>
      <c r="K93" t="s">
        <v>9</v>
      </c>
      <c r="L93">
        <v>13359</v>
      </c>
      <c r="M93" t="s">
        <v>17</v>
      </c>
      <c r="N93">
        <v>11700000</v>
      </c>
      <c r="O93">
        <v>400</v>
      </c>
      <c r="P93" s="96" t="s">
        <v>58</v>
      </c>
    </row>
    <row r="94" spans="1:16">
      <c r="A94" s="7">
        <v>28</v>
      </c>
      <c r="B94" s="8" t="s">
        <v>58</v>
      </c>
      <c r="C94" s="9" t="s">
        <v>11</v>
      </c>
      <c r="D94" s="10">
        <v>13361</v>
      </c>
      <c r="E94" s="9" t="s">
        <v>12</v>
      </c>
      <c r="F94" s="11">
        <v>12000000</v>
      </c>
      <c r="G94" s="12">
        <v>400</v>
      </c>
      <c r="I94">
        <v>28</v>
      </c>
      <c r="J94" s="95" t="s">
        <v>264</v>
      </c>
      <c r="K94" t="s">
        <v>11</v>
      </c>
      <c r="L94">
        <v>13361</v>
      </c>
      <c r="M94" t="s">
        <v>12</v>
      </c>
      <c r="N94">
        <v>12000000</v>
      </c>
      <c r="O94">
        <v>400</v>
      </c>
      <c r="P94" s="96" t="s">
        <v>58</v>
      </c>
    </row>
    <row r="95" spans="1:16">
      <c r="A95" s="7">
        <v>29</v>
      </c>
      <c r="B95" s="8" t="s">
        <v>58</v>
      </c>
      <c r="C95" s="9" t="s">
        <v>11</v>
      </c>
      <c r="D95" s="10">
        <v>13362</v>
      </c>
      <c r="E95" s="9" t="s">
        <v>12</v>
      </c>
      <c r="F95" s="11">
        <v>12000000</v>
      </c>
      <c r="G95" s="12">
        <v>400</v>
      </c>
      <c r="I95">
        <v>29</v>
      </c>
      <c r="J95" s="95" t="s">
        <v>264</v>
      </c>
      <c r="K95" t="s">
        <v>11</v>
      </c>
      <c r="L95">
        <v>13362</v>
      </c>
      <c r="M95" t="s">
        <v>12</v>
      </c>
      <c r="N95">
        <v>12000000</v>
      </c>
      <c r="O95">
        <v>400</v>
      </c>
      <c r="P95" s="96" t="s">
        <v>58</v>
      </c>
    </row>
    <row r="96" spans="1:16">
      <c r="A96" s="7">
        <v>30</v>
      </c>
      <c r="B96" s="8" t="s">
        <v>58</v>
      </c>
      <c r="C96" s="9" t="s">
        <v>59</v>
      </c>
      <c r="D96" s="10">
        <v>13363</v>
      </c>
      <c r="E96" s="9" t="s">
        <v>25</v>
      </c>
      <c r="F96" s="13">
        <v>13000000</v>
      </c>
      <c r="G96" s="14">
        <v>120</v>
      </c>
      <c r="I96">
        <v>30</v>
      </c>
      <c r="J96" s="95" t="s">
        <v>264</v>
      </c>
      <c r="K96" t="s">
        <v>59</v>
      </c>
      <c r="L96">
        <v>13363</v>
      </c>
      <c r="M96" t="s">
        <v>25</v>
      </c>
      <c r="N96">
        <v>13000000</v>
      </c>
      <c r="O96">
        <v>120</v>
      </c>
      <c r="P96" s="96" t="s">
        <v>58</v>
      </c>
    </row>
    <row r="97" spans="1:16">
      <c r="A97" s="7">
        <v>31</v>
      </c>
      <c r="B97" s="8" t="s">
        <v>60</v>
      </c>
      <c r="C97" s="9" t="s">
        <v>9</v>
      </c>
      <c r="D97" s="10">
        <v>13360</v>
      </c>
      <c r="E97" s="9" t="s">
        <v>17</v>
      </c>
      <c r="F97" s="13">
        <v>11700000</v>
      </c>
      <c r="G97" s="14">
        <v>400</v>
      </c>
      <c r="I97">
        <v>31</v>
      </c>
      <c r="J97" s="95" t="s">
        <v>265</v>
      </c>
      <c r="K97" t="s">
        <v>9</v>
      </c>
      <c r="L97">
        <v>13360</v>
      </c>
      <c r="M97" t="s">
        <v>17</v>
      </c>
      <c r="N97">
        <v>11700000</v>
      </c>
      <c r="O97">
        <v>400</v>
      </c>
      <c r="P97" s="96" t="s">
        <v>60</v>
      </c>
    </row>
    <row r="98" spans="1:16">
      <c r="A98" s="7">
        <v>32</v>
      </c>
      <c r="B98" s="8" t="s">
        <v>60</v>
      </c>
      <c r="C98" s="9" t="s">
        <v>11</v>
      </c>
      <c r="D98" s="10">
        <v>13366</v>
      </c>
      <c r="E98" s="9" t="s">
        <v>12</v>
      </c>
      <c r="F98" s="11">
        <v>12000000</v>
      </c>
      <c r="G98" s="12">
        <v>400</v>
      </c>
      <c r="I98">
        <v>32</v>
      </c>
      <c r="J98" s="95" t="s">
        <v>265</v>
      </c>
      <c r="K98" t="s">
        <v>11</v>
      </c>
      <c r="L98">
        <v>13366</v>
      </c>
      <c r="M98" t="s">
        <v>12</v>
      </c>
      <c r="N98">
        <v>12000000</v>
      </c>
      <c r="O98">
        <v>400</v>
      </c>
      <c r="P98" s="96" t="s">
        <v>60</v>
      </c>
    </row>
    <row r="99" spans="1:16">
      <c r="A99" s="7">
        <v>33</v>
      </c>
      <c r="B99" s="8" t="s">
        <v>60</v>
      </c>
      <c r="C99" s="9" t="s">
        <v>50</v>
      </c>
      <c r="D99" s="10">
        <v>13368</v>
      </c>
      <c r="E99" s="9" t="s">
        <v>51</v>
      </c>
      <c r="F99" s="11">
        <v>12500000</v>
      </c>
      <c r="G99" s="14">
        <v>400</v>
      </c>
      <c r="I99">
        <v>33</v>
      </c>
      <c r="J99" s="95" t="s">
        <v>265</v>
      </c>
      <c r="K99" t="s">
        <v>50</v>
      </c>
      <c r="L99">
        <v>13368</v>
      </c>
      <c r="M99" t="s">
        <v>51</v>
      </c>
      <c r="N99">
        <v>12500000</v>
      </c>
      <c r="O99">
        <v>400</v>
      </c>
      <c r="P99" s="96" t="s">
        <v>60</v>
      </c>
    </row>
    <row r="100" spans="1:16">
      <c r="A100" s="7">
        <v>34</v>
      </c>
      <c r="B100" s="8" t="s">
        <v>60</v>
      </c>
      <c r="C100" s="9" t="s">
        <v>50</v>
      </c>
      <c r="D100" s="10">
        <v>13369</v>
      </c>
      <c r="E100" s="9" t="s">
        <v>51</v>
      </c>
      <c r="F100" s="11">
        <v>12500000</v>
      </c>
      <c r="G100" s="14">
        <v>400</v>
      </c>
      <c r="I100">
        <v>34</v>
      </c>
      <c r="J100" s="95" t="s">
        <v>265</v>
      </c>
      <c r="K100" t="s">
        <v>50</v>
      </c>
      <c r="L100">
        <v>13369</v>
      </c>
      <c r="M100" t="s">
        <v>51</v>
      </c>
      <c r="N100">
        <v>12500000</v>
      </c>
      <c r="O100">
        <v>400</v>
      </c>
      <c r="P100" s="96" t="s">
        <v>60</v>
      </c>
    </row>
    <row r="101" spans="1:16">
      <c r="A101" s="7">
        <v>35</v>
      </c>
      <c r="B101" s="8" t="s">
        <v>60</v>
      </c>
      <c r="C101" s="9" t="s">
        <v>9</v>
      </c>
      <c r="D101" s="10">
        <v>13370</v>
      </c>
      <c r="E101" s="9" t="s">
        <v>10</v>
      </c>
      <c r="F101" s="13">
        <v>9960000</v>
      </c>
      <c r="G101" s="14">
        <v>398</v>
      </c>
      <c r="I101">
        <v>35</v>
      </c>
      <c r="J101" s="95" t="s">
        <v>265</v>
      </c>
      <c r="K101" t="s">
        <v>9</v>
      </c>
      <c r="L101">
        <v>13370</v>
      </c>
      <c r="M101" t="s">
        <v>10</v>
      </c>
      <c r="N101">
        <v>9960000</v>
      </c>
      <c r="O101">
        <v>398</v>
      </c>
      <c r="P101" s="96" t="s">
        <v>60</v>
      </c>
    </row>
    <row r="102" spans="1:16">
      <c r="A102" s="7">
        <v>36</v>
      </c>
      <c r="B102" s="8" t="s">
        <v>61</v>
      </c>
      <c r="C102" s="9" t="s">
        <v>9</v>
      </c>
      <c r="D102" s="10">
        <v>13365</v>
      </c>
      <c r="E102" s="9" t="s">
        <v>17</v>
      </c>
      <c r="F102" s="13">
        <v>11700000</v>
      </c>
      <c r="G102" s="14">
        <v>400</v>
      </c>
      <c r="I102">
        <v>36</v>
      </c>
      <c r="J102" s="95" t="s">
        <v>266</v>
      </c>
      <c r="K102" t="s">
        <v>9</v>
      </c>
      <c r="L102">
        <v>13365</v>
      </c>
      <c r="M102" t="s">
        <v>17</v>
      </c>
      <c r="N102">
        <v>11700000</v>
      </c>
      <c r="O102">
        <v>400</v>
      </c>
      <c r="P102" s="96" t="s">
        <v>61</v>
      </c>
    </row>
    <row r="103" spans="1:16">
      <c r="A103" s="7">
        <v>37</v>
      </c>
      <c r="B103" s="8" t="s">
        <v>61</v>
      </c>
      <c r="C103" s="9" t="s">
        <v>11</v>
      </c>
      <c r="D103" s="10">
        <v>13367</v>
      </c>
      <c r="E103" s="9" t="s">
        <v>12</v>
      </c>
      <c r="F103" s="11">
        <v>12000000</v>
      </c>
      <c r="G103" s="12">
        <v>400</v>
      </c>
      <c r="I103">
        <v>37</v>
      </c>
      <c r="J103" s="95" t="s">
        <v>266</v>
      </c>
      <c r="K103" t="s">
        <v>11</v>
      </c>
      <c r="L103">
        <v>13367</v>
      </c>
      <c r="M103" t="s">
        <v>12</v>
      </c>
      <c r="N103">
        <v>12000000</v>
      </c>
      <c r="O103">
        <v>400</v>
      </c>
      <c r="P103" s="96" t="s">
        <v>61</v>
      </c>
    </row>
    <row r="104" spans="1:16">
      <c r="A104" s="7">
        <v>38</v>
      </c>
      <c r="B104" s="8" t="s">
        <v>61</v>
      </c>
      <c r="C104" s="9" t="s">
        <v>11</v>
      </c>
      <c r="D104" s="10">
        <v>13372</v>
      </c>
      <c r="E104" s="9" t="s">
        <v>12</v>
      </c>
      <c r="F104" s="11">
        <v>12000000</v>
      </c>
      <c r="G104" s="12">
        <v>400</v>
      </c>
      <c r="I104">
        <v>38</v>
      </c>
      <c r="J104" s="95" t="s">
        <v>266</v>
      </c>
      <c r="K104" t="s">
        <v>11</v>
      </c>
      <c r="L104">
        <v>13372</v>
      </c>
      <c r="M104" t="s">
        <v>12</v>
      </c>
      <c r="N104">
        <v>12000000</v>
      </c>
      <c r="O104">
        <v>400</v>
      </c>
      <c r="P104" s="96" t="s">
        <v>61</v>
      </c>
    </row>
    <row r="105" spans="1:16">
      <c r="A105" s="7">
        <v>39</v>
      </c>
      <c r="B105" s="8" t="s">
        <v>61</v>
      </c>
      <c r="C105" s="9" t="s">
        <v>11</v>
      </c>
      <c r="D105" s="10">
        <v>13373</v>
      </c>
      <c r="E105" s="9" t="s">
        <v>12</v>
      </c>
      <c r="F105" s="11">
        <v>12000000</v>
      </c>
      <c r="G105" s="12">
        <v>400</v>
      </c>
      <c r="I105">
        <v>39</v>
      </c>
      <c r="J105" s="95" t="s">
        <v>266</v>
      </c>
      <c r="K105" t="s">
        <v>11</v>
      </c>
      <c r="L105">
        <v>13373</v>
      </c>
      <c r="M105" t="s">
        <v>12</v>
      </c>
      <c r="N105">
        <v>12000000</v>
      </c>
      <c r="O105">
        <v>400</v>
      </c>
      <c r="P105" s="96" t="s">
        <v>61</v>
      </c>
    </row>
    <row r="106" spans="1:16">
      <c r="A106" s="7">
        <v>40</v>
      </c>
      <c r="B106" s="8" t="s">
        <v>61</v>
      </c>
      <c r="C106" s="9" t="s">
        <v>13</v>
      </c>
      <c r="D106" s="10">
        <v>13374</v>
      </c>
      <c r="E106" s="9" t="s">
        <v>14</v>
      </c>
      <c r="F106" s="11">
        <v>7450000</v>
      </c>
      <c r="G106" s="12">
        <v>400</v>
      </c>
      <c r="I106">
        <v>40</v>
      </c>
      <c r="J106" s="95" t="s">
        <v>266</v>
      </c>
      <c r="K106" t="s">
        <v>13</v>
      </c>
      <c r="L106">
        <v>13374</v>
      </c>
      <c r="M106" t="s">
        <v>14</v>
      </c>
      <c r="N106">
        <v>7450000</v>
      </c>
      <c r="O106">
        <v>400</v>
      </c>
      <c r="P106" s="96" t="s">
        <v>61</v>
      </c>
    </row>
    <row r="107" spans="1:16">
      <c r="A107" s="7">
        <v>41</v>
      </c>
      <c r="B107" s="8" t="s">
        <v>62</v>
      </c>
      <c r="C107" s="9" t="s">
        <v>63</v>
      </c>
      <c r="D107" s="10">
        <v>13375</v>
      </c>
      <c r="E107" s="9" t="s">
        <v>40</v>
      </c>
      <c r="F107" s="13">
        <v>12000000</v>
      </c>
      <c r="G107" s="14">
        <v>22</v>
      </c>
      <c r="I107">
        <v>41</v>
      </c>
      <c r="J107" s="95" t="s">
        <v>267</v>
      </c>
      <c r="K107" t="s">
        <v>63</v>
      </c>
      <c r="L107">
        <v>13375</v>
      </c>
      <c r="M107" t="s">
        <v>40</v>
      </c>
      <c r="N107">
        <v>12000000</v>
      </c>
      <c r="O107">
        <v>22</v>
      </c>
      <c r="P107" s="96" t="s">
        <v>62</v>
      </c>
    </row>
    <row r="108" spans="1:16">
      <c r="A108" s="7">
        <v>42</v>
      </c>
      <c r="B108" s="8" t="s">
        <v>62</v>
      </c>
      <c r="C108" s="9" t="s">
        <v>64</v>
      </c>
      <c r="D108" s="10">
        <v>13376</v>
      </c>
      <c r="E108" s="9" t="s">
        <v>10</v>
      </c>
      <c r="F108" s="13">
        <v>11200000</v>
      </c>
      <c r="G108" s="14">
        <v>15</v>
      </c>
      <c r="I108">
        <v>42</v>
      </c>
      <c r="J108" s="95" t="s">
        <v>267</v>
      </c>
      <c r="K108" t="s">
        <v>64</v>
      </c>
      <c r="L108">
        <v>13376</v>
      </c>
      <c r="M108" t="s">
        <v>10</v>
      </c>
      <c r="N108">
        <v>11200000</v>
      </c>
      <c r="O108">
        <v>15</v>
      </c>
      <c r="P108" s="96" t="s">
        <v>62</v>
      </c>
    </row>
    <row r="109" spans="1:16">
      <c r="A109" s="7">
        <v>43</v>
      </c>
      <c r="B109" s="8" t="s">
        <v>62</v>
      </c>
      <c r="C109" s="9" t="s">
        <v>11</v>
      </c>
      <c r="D109" s="10">
        <v>13377</v>
      </c>
      <c r="E109" s="9" t="s">
        <v>12</v>
      </c>
      <c r="F109" s="11">
        <v>12000000</v>
      </c>
      <c r="G109" s="12">
        <v>400</v>
      </c>
      <c r="I109">
        <v>43</v>
      </c>
      <c r="J109" s="95" t="s">
        <v>267</v>
      </c>
      <c r="K109" t="s">
        <v>11</v>
      </c>
      <c r="L109">
        <v>13377</v>
      </c>
      <c r="M109" t="s">
        <v>12</v>
      </c>
      <c r="N109">
        <v>12000000</v>
      </c>
      <c r="O109">
        <v>400</v>
      </c>
      <c r="P109" s="96" t="s">
        <v>62</v>
      </c>
    </row>
    <row r="110" spans="1:16">
      <c r="A110" s="7">
        <v>44</v>
      </c>
      <c r="B110" s="8" t="s">
        <v>62</v>
      </c>
      <c r="C110" s="9" t="s">
        <v>9</v>
      </c>
      <c r="D110" s="10">
        <v>13379</v>
      </c>
      <c r="E110" s="9" t="s">
        <v>10</v>
      </c>
      <c r="F110" s="13">
        <v>9960000</v>
      </c>
      <c r="G110" s="14">
        <v>400</v>
      </c>
      <c r="I110">
        <v>44</v>
      </c>
      <c r="J110" s="95" t="s">
        <v>267</v>
      </c>
      <c r="K110" t="s">
        <v>9</v>
      </c>
      <c r="L110">
        <v>13379</v>
      </c>
      <c r="M110" t="s">
        <v>10</v>
      </c>
      <c r="N110">
        <v>9960000</v>
      </c>
      <c r="O110">
        <v>400</v>
      </c>
      <c r="P110" s="96" t="s">
        <v>62</v>
      </c>
    </row>
    <row r="111" spans="1:16">
      <c r="A111" s="7">
        <v>45</v>
      </c>
      <c r="B111" s="8" t="s">
        <v>62</v>
      </c>
      <c r="C111" s="9" t="s">
        <v>13</v>
      </c>
      <c r="D111" s="10">
        <v>13381</v>
      </c>
      <c r="E111" s="9" t="s">
        <v>14</v>
      </c>
      <c r="F111" s="11">
        <v>7450000</v>
      </c>
      <c r="G111" s="12">
        <v>400</v>
      </c>
      <c r="I111">
        <v>45</v>
      </c>
      <c r="J111" s="95" t="s">
        <v>267</v>
      </c>
      <c r="K111" t="s">
        <v>13</v>
      </c>
      <c r="L111">
        <v>13381</v>
      </c>
      <c r="M111" t="s">
        <v>14</v>
      </c>
      <c r="N111">
        <v>7450000</v>
      </c>
      <c r="O111">
        <v>400</v>
      </c>
      <c r="P111" s="96" t="s">
        <v>62</v>
      </c>
    </row>
    <row r="112" spans="1:16">
      <c r="A112" s="7">
        <v>46</v>
      </c>
      <c r="B112" s="8" t="s">
        <v>62</v>
      </c>
      <c r="C112" s="9" t="s">
        <v>64</v>
      </c>
      <c r="D112" s="10">
        <v>13382</v>
      </c>
      <c r="E112" s="9" t="s">
        <v>10</v>
      </c>
      <c r="F112" s="13">
        <v>11200000</v>
      </c>
      <c r="G112" s="14">
        <v>15</v>
      </c>
      <c r="I112">
        <v>46</v>
      </c>
      <c r="J112" s="95" t="s">
        <v>267</v>
      </c>
      <c r="K112" t="s">
        <v>64</v>
      </c>
      <c r="L112">
        <v>13382</v>
      </c>
      <c r="M112" t="s">
        <v>10</v>
      </c>
      <c r="N112">
        <v>11200000</v>
      </c>
      <c r="O112">
        <v>15</v>
      </c>
      <c r="P112" s="96" t="s">
        <v>62</v>
      </c>
    </row>
    <row r="113" spans="1:16">
      <c r="A113" s="7">
        <v>47</v>
      </c>
      <c r="B113" s="8" t="s">
        <v>62</v>
      </c>
      <c r="C113" s="9" t="s">
        <v>28</v>
      </c>
      <c r="D113" s="10">
        <v>13383</v>
      </c>
      <c r="E113" s="9" t="s">
        <v>10</v>
      </c>
      <c r="F113" s="13">
        <v>11900000</v>
      </c>
      <c r="G113" s="14">
        <v>120</v>
      </c>
      <c r="I113">
        <v>47</v>
      </c>
      <c r="J113" s="95" t="s">
        <v>267</v>
      </c>
      <c r="K113" t="s">
        <v>28</v>
      </c>
      <c r="L113">
        <v>13383</v>
      </c>
      <c r="M113" t="s">
        <v>10</v>
      </c>
      <c r="N113">
        <v>11900000</v>
      </c>
      <c r="O113">
        <v>120</v>
      </c>
      <c r="P113" s="96" t="s">
        <v>62</v>
      </c>
    </row>
    <row r="114" spans="1:16">
      <c r="A114" s="7">
        <v>48</v>
      </c>
      <c r="B114" s="8" t="s">
        <v>62</v>
      </c>
      <c r="C114" s="9" t="s">
        <v>65</v>
      </c>
      <c r="D114" s="10">
        <v>13385</v>
      </c>
      <c r="E114" s="9" t="s">
        <v>49</v>
      </c>
      <c r="F114" s="13">
        <v>13000000</v>
      </c>
      <c r="G114" s="14">
        <v>7</v>
      </c>
      <c r="I114">
        <v>48</v>
      </c>
      <c r="J114" s="95" t="s">
        <v>267</v>
      </c>
      <c r="K114" t="s">
        <v>65</v>
      </c>
      <c r="L114">
        <v>13385</v>
      </c>
      <c r="M114" t="s">
        <v>49</v>
      </c>
      <c r="N114">
        <v>13000000</v>
      </c>
      <c r="O114">
        <v>7</v>
      </c>
      <c r="P114" s="96" t="s">
        <v>62</v>
      </c>
    </row>
    <row r="115" spans="1:16">
      <c r="A115" s="7">
        <v>49</v>
      </c>
      <c r="B115" s="8" t="s">
        <v>62</v>
      </c>
      <c r="C115" s="9" t="s">
        <v>28</v>
      </c>
      <c r="D115" s="10">
        <v>13386</v>
      </c>
      <c r="E115" s="9" t="s">
        <v>10</v>
      </c>
      <c r="F115" s="13">
        <v>11900000</v>
      </c>
      <c r="G115" s="14">
        <v>49</v>
      </c>
      <c r="I115">
        <v>49</v>
      </c>
      <c r="J115" s="95" t="s">
        <v>267</v>
      </c>
      <c r="K115" t="s">
        <v>28</v>
      </c>
      <c r="L115">
        <v>13386</v>
      </c>
      <c r="M115" t="s">
        <v>10</v>
      </c>
      <c r="N115">
        <v>11900000</v>
      </c>
      <c r="O115">
        <v>49</v>
      </c>
      <c r="P115" s="96" t="s">
        <v>62</v>
      </c>
    </row>
    <row r="116" spans="1:16">
      <c r="A116" s="7">
        <v>50</v>
      </c>
      <c r="B116" s="8" t="s">
        <v>66</v>
      </c>
      <c r="C116" s="9" t="s">
        <v>13</v>
      </c>
      <c r="D116" s="10">
        <v>13380</v>
      </c>
      <c r="E116" s="9" t="s">
        <v>14</v>
      </c>
      <c r="F116" s="11">
        <v>7450000</v>
      </c>
      <c r="G116" s="12">
        <v>400</v>
      </c>
      <c r="I116">
        <v>50</v>
      </c>
      <c r="J116" s="95" t="s">
        <v>268</v>
      </c>
      <c r="K116" t="s">
        <v>13</v>
      </c>
      <c r="L116">
        <v>13380</v>
      </c>
      <c r="M116" t="s">
        <v>14</v>
      </c>
      <c r="N116">
        <v>7450000</v>
      </c>
      <c r="O116">
        <v>400</v>
      </c>
      <c r="P116" s="96" t="s">
        <v>66</v>
      </c>
    </row>
    <row r="117" spans="1:16">
      <c r="A117" s="7">
        <v>51</v>
      </c>
      <c r="B117" s="8" t="s">
        <v>66</v>
      </c>
      <c r="C117" s="9" t="s">
        <v>9</v>
      </c>
      <c r="D117" s="10">
        <v>13387</v>
      </c>
      <c r="E117" s="9" t="s">
        <v>10</v>
      </c>
      <c r="F117" s="13">
        <v>9960000</v>
      </c>
      <c r="G117" s="14">
        <v>400</v>
      </c>
      <c r="I117">
        <v>51</v>
      </c>
      <c r="J117" s="95" t="s">
        <v>268</v>
      </c>
      <c r="K117" t="s">
        <v>9</v>
      </c>
      <c r="L117">
        <v>13387</v>
      </c>
      <c r="M117" t="s">
        <v>10</v>
      </c>
      <c r="N117">
        <v>9960000</v>
      </c>
      <c r="O117">
        <v>400</v>
      </c>
      <c r="P117" s="96" t="s">
        <v>66</v>
      </c>
    </row>
    <row r="118" spans="1:16">
      <c r="A118" s="7">
        <v>52</v>
      </c>
      <c r="B118" s="8" t="s">
        <v>66</v>
      </c>
      <c r="C118" s="9" t="s">
        <v>67</v>
      </c>
      <c r="D118" s="10">
        <v>13388</v>
      </c>
      <c r="E118" s="9" t="s">
        <v>68</v>
      </c>
      <c r="F118" s="13">
        <v>13000000</v>
      </c>
      <c r="G118" s="14">
        <v>20</v>
      </c>
      <c r="I118">
        <v>52</v>
      </c>
      <c r="J118" s="95" t="s">
        <v>268</v>
      </c>
      <c r="K118" t="s">
        <v>67</v>
      </c>
      <c r="L118">
        <v>13388</v>
      </c>
      <c r="M118" t="s">
        <v>68</v>
      </c>
      <c r="N118">
        <v>13000000</v>
      </c>
      <c r="O118">
        <v>20</v>
      </c>
      <c r="P118" s="96" t="s">
        <v>66</v>
      </c>
    </row>
    <row r="119" spans="1:16">
      <c r="A119" s="7">
        <v>53</v>
      </c>
      <c r="B119" s="8" t="s">
        <v>66</v>
      </c>
      <c r="C119" s="9" t="s">
        <v>9</v>
      </c>
      <c r="D119" s="10">
        <v>13389</v>
      </c>
      <c r="E119" s="9" t="s">
        <v>17</v>
      </c>
      <c r="F119" s="13">
        <v>11700000</v>
      </c>
      <c r="G119" s="14">
        <v>400</v>
      </c>
      <c r="I119">
        <v>53</v>
      </c>
      <c r="J119" s="95" t="s">
        <v>268</v>
      </c>
      <c r="K119" t="s">
        <v>9</v>
      </c>
      <c r="L119">
        <v>13389</v>
      </c>
      <c r="M119" t="s">
        <v>17</v>
      </c>
      <c r="N119">
        <v>11700000</v>
      </c>
      <c r="O119">
        <v>400</v>
      </c>
      <c r="P119" s="96" t="s">
        <v>66</v>
      </c>
    </row>
    <row r="120" spans="1:16">
      <c r="A120" s="7">
        <v>54</v>
      </c>
      <c r="B120" s="8" t="s">
        <v>66</v>
      </c>
      <c r="C120" s="9" t="s">
        <v>11</v>
      </c>
      <c r="D120" s="10">
        <v>13390</v>
      </c>
      <c r="E120" s="9" t="s">
        <v>12</v>
      </c>
      <c r="F120" s="11">
        <v>12000000</v>
      </c>
      <c r="G120" s="12">
        <v>400</v>
      </c>
      <c r="I120">
        <v>54</v>
      </c>
      <c r="J120" s="95" t="s">
        <v>268</v>
      </c>
      <c r="K120" t="s">
        <v>11</v>
      </c>
      <c r="L120">
        <v>13390</v>
      </c>
      <c r="M120" t="s">
        <v>12</v>
      </c>
      <c r="N120">
        <v>12000000</v>
      </c>
      <c r="O120">
        <v>400</v>
      </c>
      <c r="P120" s="96" t="s">
        <v>66</v>
      </c>
    </row>
    <row r="121" spans="1:16">
      <c r="A121" s="7">
        <v>55</v>
      </c>
      <c r="B121" s="8" t="s">
        <v>69</v>
      </c>
      <c r="C121" s="9" t="s">
        <v>11</v>
      </c>
      <c r="D121" s="10">
        <v>13392</v>
      </c>
      <c r="E121" s="9" t="s">
        <v>12</v>
      </c>
      <c r="F121" s="11">
        <v>12000000</v>
      </c>
      <c r="G121" s="12">
        <v>400</v>
      </c>
      <c r="I121">
        <v>55</v>
      </c>
      <c r="J121" s="95" t="s">
        <v>269</v>
      </c>
      <c r="K121" t="s">
        <v>11</v>
      </c>
      <c r="L121">
        <v>13392</v>
      </c>
      <c r="M121" t="s">
        <v>12</v>
      </c>
      <c r="N121">
        <v>12000000</v>
      </c>
      <c r="O121">
        <v>400</v>
      </c>
      <c r="P121" s="96" t="s">
        <v>69</v>
      </c>
    </row>
    <row r="122" spans="1:16">
      <c r="A122" s="7">
        <v>56</v>
      </c>
      <c r="B122" s="8" t="s">
        <v>69</v>
      </c>
      <c r="C122" s="9" t="s">
        <v>9</v>
      </c>
      <c r="D122" s="10">
        <v>13394</v>
      </c>
      <c r="E122" s="9" t="s">
        <v>10</v>
      </c>
      <c r="F122" s="13">
        <v>9960000</v>
      </c>
      <c r="G122" s="14">
        <v>399</v>
      </c>
      <c r="I122">
        <v>56</v>
      </c>
      <c r="J122" s="95" t="s">
        <v>269</v>
      </c>
      <c r="K122" t="s">
        <v>9</v>
      </c>
      <c r="L122">
        <v>13394</v>
      </c>
      <c r="M122" t="s">
        <v>10</v>
      </c>
      <c r="N122">
        <v>9960000</v>
      </c>
      <c r="O122">
        <v>399</v>
      </c>
      <c r="P122" s="96" t="s">
        <v>69</v>
      </c>
    </row>
    <row r="123" spans="1:16">
      <c r="A123" s="7">
        <v>57</v>
      </c>
      <c r="B123" s="8" t="s">
        <v>69</v>
      </c>
      <c r="C123" s="9" t="s">
        <v>9</v>
      </c>
      <c r="D123" s="10">
        <v>13395</v>
      </c>
      <c r="E123" s="9" t="s">
        <v>17</v>
      </c>
      <c r="F123" s="13">
        <v>11700000</v>
      </c>
      <c r="G123" s="14">
        <v>400</v>
      </c>
      <c r="I123">
        <v>57</v>
      </c>
      <c r="J123" s="95" t="s">
        <v>269</v>
      </c>
      <c r="K123" t="s">
        <v>9</v>
      </c>
      <c r="L123">
        <v>13395</v>
      </c>
      <c r="M123" t="s">
        <v>17</v>
      </c>
      <c r="N123">
        <v>11700000</v>
      </c>
      <c r="O123">
        <v>400</v>
      </c>
      <c r="P123" s="96" t="s">
        <v>69</v>
      </c>
    </row>
    <row r="124" spans="1:16">
      <c r="A124" s="7">
        <v>58</v>
      </c>
      <c r="B124" s="8" t="s">
        <v>69</v>
      </c>
      <c r="C124" s="9" t="s">
        <v>70</v>
      </c>
      <c r="D124" s="10">
        <v>13396</v>
      </c>
      <c r="E124" s="9" t="s">
        <v>14</v>
      </c>
      <c r="F124" s="13">
        <v>13000000</v>
      </c>
      <c r="G124" s="14">
        <v>1</v>
      </c>
      <c r="I124">
        <v>58</v>
      </c>
      <c r="J124" s="95" t="s">
        <v>269</v>
      </c>
      <c r="K124" t="s">
        <v>70</v>
      </c>
      <c r="L124">
        <v>13396</v>
      </c>
      <c r="M124" t="s">
        <v>14</v>
      </c>
      <c r="N124">
        <v>13000000</v>
      </c>
      <c r="O124">
        <v>1</v>
      </c>
      <c r="P124" s="96" t="s">
        <v>69</v>
      </c>
    </row>
    <row r="125" spans="1:16">
      <c r="A125" s="7">
        <v>59</v>
      </c>
      <c r="B125" s="8" t="s">
        <v>71</v>
      </c>
      <c r="C125" s="9" t="s">
        <v>13</v>
      </c>
      <c r="D125" s="10">
        <v>13393</v>
      </c>
      <c r="E125" s="9" t="s">
        <v>14</v>
      </c>
      <c r="F125" s="11">
        <v>7450000</v>
      </c>
      <c r="G125" s="12">
        <v>400</v>
      </c>
      <c r="I125">
        <v>59</v>
      </c>
      <c r="J125" s="95" t="s">
        <v>270</v>
      </c>
      <c r="K125" t="s">
        <v>13</v>
      </c>
      <c r="L125">
        <v>13393</v>
      </c>
      <c r="M125" t="s">
        <v>14</v>
      </c>
      <c r="N125">
        <v>7450000</v>
      </c>
      <c r="O125">
        <v>400</v>
      </c>
      <c r="P125" s="96" t="s">
        <v>71</v>
      </c>
    </row>
    <row r="126" spans="1:16">
      <c r="A126" s="7">
        <v>60</v>
      </c>
      <c r="B126" s="8" t="s">
        <v>71</v>
      </c>
      <c r="C126" s="9" t="s">
        <v>13</v>
      </c>
      <c r="D126" s="10">
        <v>13397</v>
      </c>
      <c r="E126" s="9" t="s">
        <v>25</v>
      </c>
      <c r="F126" s="11">
        <v>7450000</v>
      </c>
      <c r="G126" s="12">
        <v>400</v>
      </c>
      <c r="I126">
        <v>60</v>
      </c>
      <c r="J126" s="95" t="s">
        <v>270</v>
      </c>
      <c r="K126" t="s">
        <v>13</v>
      </c>
      <c r="L126">
        <v>13397</v>
      </c>
      <c r="M126" t="s">
        <v>25</v>
      </c>
      <c r="N126">
        <v>7450000</v>
      </c>
      <c r="O126">
        <v>400</v>
      </c>
      <c r="P126" s="96" t="s">
        <v>71</v>
      </c>
    </row>
    <row r="127" spans="1:16">
      <c r="A127" s="7">
        <v>61</v>
      </c>
      <c r="B127" s="8" t="s">
        <v>71</v>
      </c>
      <c r="C127" s="9" t="s">
        <v>67</v>
      </c>
      <c r="D127" s="10">
        <v>13398</v>
      </c>
      <c r="E127" s="9" t="s">
        <v>72</v>
      </c>
      <c r="F127" s="13">
        <v>13500000</v>
      </c>
      <c r="G127" s="14">
        <v>15</v>
      </c>
      <c r="I127">
        <v>61</v>
      </c>
      <c r="J127" s="95" t="s">
        <v>270</v>
      </c>
      <c r="K127" t="s">
        <v>67</v>
      </c>
      <c r="L127">
        <v>13398</v>
      </c>
      <c r="M127" t="s">
        <v>72</v>
      </c>
      <c r="N127">
        <v>13500000</v>
      </c>
      <c r="O127">
        <v>15</v>
      </c>
      <c r="P127" s="96" t="s">
        <v>71</v>
      </c>
    </row>
    <row r="128" spans="1:16" ht="15.75" thickBot="1">
      <c r="A128" s="100" t="s">
        <v>43</v>
      </c>
      <c r="B128" s="101"/>
      <c r="C128" s="101"/>
      <c r="D128" s="101"/>
      <c r="E128" s="101"/>
      <c r="F128" s="101"/>
      <c r="G128" s="15">
        <f>G65+SUM(G67:G127)</f>
        <v>40075</v>
      </c>
    </row>
  </sheetData>
  <mergeCells count="7">
    <mergeCell ref="A128:F128"/>
    <mergeCell ref="A1:G1"/>
    <mergeCell ref="A2:G2"/>
    <mergeCell ref="A61:F61"/>
    <mergeCell ref="A63:G63"/>
    <mergeCell ref="A64:G64"/>
    <mergeCell ref="A65:F65"/>
  </mergeCells>
  <conditionalFormatting sqref="A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6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6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6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CF3C-F010-4018-8D6A-8BF6827BC691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23F5-4BB6-4523-9CA7-849A8B9A76B8}">
  <dimension ref="A3:G35"/>
  <sheetViews>
    <sheetView rightToLeft="1" topLeftCell="A7" workbookViewId="0">
      <selection activeCell="D33" sqref="D33"/>
    </sheetView>
  </sheetViews>
  <sheetFormatPr defaultRowHeight="15"/>
  <cols>
    <col min="1" max="1" width="14.42578125" bestFit="1" customWidth="1"/>
    <col min="2" max="2" width="12.7109375" bestFit="1" customWidth="1"/>
    <col min="4" max="4" width="10.42578125" bestFit="1" customWidth="1"/>
    <col min="5" max="5" width="10.7109375" bestFit="1" customWidth="1"/>
    <col min="6" max="6" width="20.7109375" bestFit="1" customWidth="1"/>
  </cols>
  <sheetData>
    <row r="3" spans="1:7">
      <c r="A3" s="97" t="s">
        <v>2</v>
      </c>
      <c r="B3" s="97" t="s">
        <v>273</v>
      </c>
      <c r="D3" t="s">
        <v>2</v>
      </c>
      <c r="E3" t="s">
        <v>273</v>
      </c>
      <c r="F3" t="s">
        <v>274</v>
      </c>
    </row>
    <row r="4" spans="1:7">
      <c r="A4" t="s">
        <v>247</v>
      </c>
      <c r="B4" t="s">
        <v>21</v>
      </c>
      <c r="D4" s="94">
        <v>45020</v>
      </c>
      <c r="E4" t="s">
        <v>8</v>
      </c>
      <c r="F4" t="str">
        <f>"گزارش مورخ"&amp;" "&amp;E4</f>
        <v>گزارش مورخ 1402/01/15</v>
      </c>
      <c r="G4">
        <v>1</v>
      </c>
    </row>
    <row r="5" spans="1:7">
      <c r="A5" t="s">
        <v>248</v>
      </c>
      <c r="B5" t="s">
        <v>24</v>
      </c>
      <c r="D5" s="94">
        <v>45021</v>
      </c>
      <c r="E5" t="s">
        <v>15</v>
      </c>
      <c r="F5" t="str">
        <f t="shared" ref="F5:F34" si="0">"گزارش مورخ"&amp;" "&amp;E5</f>
        <v>گزارش مورخ 1402/01/16</v>
      </c>
      <c r="G5">
        <v>2</v>
      </c>
    </row>
    <row r="6" spans="1:7">
      <c r="A6" t="s">
        <v>249</v>
      </c>
      <c r="B6" t="s">
        <v>26</v>
      </c>
      <c r="D6" s="94">
        <v>45026</v>
      </c>
      <c r="E6" t="s">
        <v>21</v>
      </c>
      <c r="F6" t="str">
        <f t="shared" si="0"/>
        <v>گزارش مورخ 1402/01/21</v>
      </c>
      <c r="G6">
        <v>3</v>
      </c>
    </row>
    <row r="7" spans="1:7">
      <c r="A7" t="s">
        <v>250</v>
      </c>
      <c r="B7" t="s">
        <v>27</v>
      </c>
      <c r="D7" s="94">
        <v>45027</v>
      </c>
      <c r="E7" t="s">
        <v>24</v>
      </c>
      <c r="F7" t="str">
        <f t="shared" si="0"/>
        <v>گزارش مورخ 1402/01/22</v>
      </c>
      <c r="G7">
        <v>4</v>
      </c>
    </row>
    <row r="8" spans="1:7">
      <c r="A8" t="s">
        <v>251</v>
      </c>
      <c r="B8" t="s">
        <v>30</v>
      </c>
      <c r="D8" s="94">
        <v>45028</v>
      </c>
      <c r="E8" t="s">
        <v>26</v>
      </c>
      <c r="F8" t="str">
        <f t="shared" si="0"/>
        <v>گزارش مورخ 1402/01/23</v>
      </c>
      <c r="G8">
        <v>5</v>
      </c>
    </row>
    <row r="9" spans="1:7">
      <c r="A9" t="s">
        <v>252</v>
      </c>
      <c r="B9" t="s">
        <v>32</v>
      </c>
      <c r="D9" s="94">
        <v>45029</v>
      </c>
      <c r="E9" t="s">
        <v>27</v>
      </c>
      <c r="F9" t="str">
        <f t="shared" si="0"/>
        <v>گزارش مورخ 1402/01/24</v>
      </c>
      <c r="G9">
        <v>6</v>
      </c>
    </row>
    <row r="10" spans="1:7">
      <c r="A10" t="s">
        <v>253</v>
      </c>
      <c r="B10" t="s">
        <v>34</v>
      </c>
      <c r="D10" s="94">
        <v>45030</v>
      </c>
      <c r="E10" t="s">
        <v>30</v>
      </c>
      <c r="F10" t="str">
        <f t="shared" si="0"/>
        <v>گزارش مورخ 1402/01/25</v>
      </c>
      <c r="G10">
        <v>7</v>
      </c>
    </row>
    <row r="11" spans="1:7">
      <c r="A11" t="s">
        <v>254</v>
      </c>
      <c r="B11" t="s">
        <v>35</v>
      </c>
      <c r="D11" s="94">
        <v>45031</v>
      </c>
      <c r="E11" t="s">
        <v>32</v>
      </c>
      <c r="F11" t="str">
        <f t="shared" si="0"/>
        <v>گزارش مورخ 1402/01/26</v>
      </c>
      <c r="G11">
        <v>8</v>
      </c>
    </row>
    <row r="12" spans="1:7">
      <c r="A12" t="s">
        <v>255</v>
      </c>
      <c r="B12" t="s">
        <v>36</v>
      </c>
      <c r="D12" s="94">
        <v>45032</v>
      </c>
      <c r="E12" t="s">
        <v>34</v>
      </c>
      <c r="F12" t="str">
        <f t="shared" si="0"/>
        <v>گزارش مورخ 1402/01/27</v>
      </c>
      <c r="G12">
        <v>9</v>
      </c>
    </row>
    <row r="13" spans="1:7">
      <c r="A13" t="s">
        <v>256</v>
      </c>
      <c r="B13" t="s">
        <v>38</v>
      </c>
      <c r="D13" s="94">
        <v>45033</v>
      </c>
      <c r="E13" t="s">
        <v>35</v>
      </c>
      <c r="F13" t="str">
        <f t="shared" si="0"/>
        <v>گزارش مورخ 1402/01/28</v>
      </c>
      <c r="G13">
        <v>10</v>
      </c>
    </row>
    <row r="14" spans="1:7">
      <c r="A14" t="s">
        <v>257</v>
      </c>
      <c r="B14" t="s">
        <v>42</v>
      </c>
      <c r="D14" s="94">
        <v>45034</v>
      </c>
      <c r="E14" t="s">
        <v>36</v>
      </c>
      <c r="F14" t="str">
        <f t="shared" si="0"/>
        <v>گزارش مورخ 1402/01/29</v>
      </c>
      <c r="G14">
        <v>11</v>
      </c>
    </row>
    <row r="15" spans="1:7">
      <c r="A15" t="s">
        <v>258</v>
      </c>
      <c r="B15" t="s">
        <v>46</v>
      </c>
      <c r="D15" s="94">
        <v>45035</v>
      </c>
      <c r="E15" t="s">
        <v>38</v>
      </c>
      <c r="F15" t="str">
        <f t="shared" si="0"/>
        <v>گزارش مورخ 1402/01/30</v>
      </c>
      <c r="G15">
        <v>12</v>
      </c>
    </row>
    <row r="16" spans="1:7">
      <c r="A16" t="s">
        <v>259</v>
      </c>
      <c r="B16" t="s">
        <v>47</v>
      </c>
      <c r="D16" s="94">
        <v>45036</v>
      </c>
      <c r="E16" t="s">
        <v>42</v>
      </c>
      <c r="F16" t="str">
        <f t="shared" si="0"/>
        <v>گزارش مورخ 1402/01/31</v>
      </c>
      <c r="G16">
        <v>13</v>
      </c>
    </row>
    <row r="17" spans="1:7">
      <c r="A17" t="s">
        <v>260</v>
      </c>
      <c r="B17" t="s">
        <v>52</v>
      </c>
      <c r="D17" s="94">
        <v>45037</v>
      </c>
      <c r="E17" t="s">
        <v>46</v>
      </c>
      <c r="F17" t="str">
        <f t="shared" si="0"/>
        <v>گزارش مورخ 1402/02/01</v>
      </c>
      <c r="G17">
        <v>14</v>
      </c>
    </row>
    <row r="18" spans="1:7">
      <c r="A18" t="s">
        <v>261</v>
      </c>
      <c r="B18" t="s">
        <v>55</v>
      </c>
      <c r="D18" s="94">
        <v>45040</v>
      </c>
      <c r="E18" t="s">
        <v>47</v>
      </c>
      <c r="F18" t="str">
        <f t="shared" si="0"/>
        <v>گزارش مورخ 1402/02/04</v>
      </c>
      <c r="G18">
        <v>15</v>
      </c>
    </row>
    <row r="19" spans="1:7">
      <c r="A19" t="s">
        <v>262</v>
      </c>
      <c r="B19" t="s">
        <v>56</v>
      </c>
      <c r="D19" s="94">
        <v>45041</v>
      </c>
      <c r="E19" t="s">
        <v>52</v>
      </c>
      <c r="F19" t="str">
        <f t="shared" si="0"/>
        <v>گزارش مورخ 1402/02/05</v>
      </c>
      <c r="G19">
        <v>16</v>
      </c>
    </row>
    <row r="20" spans="1:7">
      <c r="A20" t="s">
        <v>263</v>
      </c>
      <c r="B20" t="s">
        <v>57</v>
      </c>
      <c r="D20" s="94">
        <v>45042</v>
      </c>
      <c r="E20" t="s">
        <v>55</v>
      </c>
      <c r="F20" t="str">
        <f t="shared" si="0"/>
        <v>گزارش مورخ 1402/02/06</v>
      </c>
      <c r="G20">
        <v>17</v>
      </c>
    </row>
    <row r="21" spans="1:7">
      <c r="A21" t="s">
        <v>264</v>
      </c>
      <c r="B21" t="s">
        <v>58</v>
      </c>
      <c r="D21" s="94">
        <v>45043</v>
      </c>
      <c r="E21" t="s">
        <v>56</v>
      </c>
      <c r="F21" t="str">
        <f t="shared" si="0"/>
        <v>گزارش مورخ 1402/02/07</v>
      </c>
      <c r="G21">
        <v>18</v>
      </c>
    </row>
    <row r="22" spans="1:7">
      <c r="A22" t="s">
        <v>265</v>
      </c>
      <c r="B22" t="s">
        <v>60</v>
      </c>
      <c r="D22" s="94">
        <v>45044</v>
      </c>
      <c r="E22" t="s">
        <v>57</v>
      </c>
      <c r="F22" t="str">
        <f t="shared" si="0"/>
        <v>گزارش مورخ 1402/02/08</v>
      </c>
      <c r="G22">
        <v>19</v>
      </c>
    </row>
    <row r="23" spans="1:7">
      <c r="A23" t="s">
        <v>242</v>
      </c>
      <c r="B23" t="s">
        <v>15</v>
      </c>
      <c r="D23" s="94">
        <v>45045</v>
      </c>
      <c r="E23" t="s">
        <v>58</v>
      </c>
      <c r="F23" t="str">
        <f t="shared" si="0"/>
        <v>گزارش مورخ 1402/02/09</v>
      </c>
      <c r="G23">
        <v>20</v>
      </c>
    </row>
    <row r="24" spans="1:7">
      <c r="A24" t="s">
        <v>243</v>
      </c>
      <c r="B24" t="s">
        <v>16</v>
      </c>
      <c r="D24" s="94">
        <v>45046</v>
      </c>
      <c r="E24" t="s">
        <v>60</v>
      </c>
      <c r="F24" t="str">
        <f t="shared" si="0"/>
        <v>گزارش مورخ 1402/02/10</v>
      </c>
      <c r="G24">
        <v>21</v>
      </c>
    </row>
    <row r="25" spans="1:7">
      <c r="A25" t="s">
        <v>244</v>
      </c>
      <c r="B25" t="s">
        <v>18</v>
      </c>
      <c r="D25" s="94">
        <v>45021</v>
      </c>
      <c r="E25" t="s">
        <v>15</v>
      </c>
      <c r="F25" t="str">
        <f t="shared" si="0"/>
        <v>گزارش مورخ 1402/01/16</v>
      </c>
      <c r="G25">
        <v>22</v>
      </c>
    </row>
    <row r="26" spans="1:7">
      <c r="A26" t="s">
        <v>245</v>
      </c>
      <c r="B26" t="s">
        <v>19</v>
      </c>
      <c r="D26" s="94">
        <v>45022</v>
      </c>
      <c r="E26" t="s">
        <v>16</v>
      </c>
      <c r="F26" t="str">
        <f t="shared" si="0"/>
        <v>گزارش مورخ 1402/01/17</v>
      </c>
      <c r="G26">
        <v>23</v>
      </c>
    </row>
    <row r="27" spans="1:7">
      <c r="A27" t="s">
        <v>246</v>
      </c>
      <c r="B27" t="s">
        <v>20</v>
      </c>
      <c r="D27" s="94">
        <v>45023</v>
      </c>
      <c r="E27" t="s">
        <v>18</v>
      </c>
      <c r="F27" t="str">
        <f t="shared" si="0"/>
        <v>گزارش مورخ 1402/01/18</v>
      </c>
      <c r="G27">
        <v>24</v>
      </c>
    </row>
    <row r="28" spans="1:7">
      <c r="A28" t="s">
        <v>266</v>
      </c>
      <c r="B28" t="s">
        <v>61</v>
      </c>
      <c r="D28" s="94">
        <v>45024</v>
      </c>
      <c r="E28" t="s">
        <v>19</v>
      </c>
      <c r="F28" t="str">
        <f t="shared" si="0"/>
        <v>گزارش مورخ 1402/01/19</v>
      </c>
      <c r="G28">
        <v>25</v>
      </c>
    </row>
    <row r="29" spans="1:7">
      <c r="A29" t="s">
        <v>267</v>
      </c>
      <c r="B29" t="s">
        <v>62</v>
      </c>
      <c r="D29" s="94">
        <v>45025</v>
      </c>
      <c r="E29" t="s">
        <v>20</v>
      </c>
      <c r="F29" t="str">
        <f t="shared" si="0"/>
        <v>گزارش مورخ 1402/01/20</v>
      </c>
      <c r="G29">
        <v>26</v>
      </c>
    </row>
    <row r="30" spans="1:7">
      <c r="A30" t="s">
        <v>268</v>
      </c>
      <c r="B30" t="s">
        <v>66</v>
      </c>
      <c r="D30" s="94">
        <v>45047</v>
      </c>
      <c r="E30" t="s">
        <v>61</v>
      </c>
      <c r="F30" t="str">
        <f t="shared" si="0"/>
        <v>گزارش مورخ 1402/02/11</v>
      </c>
      <c r="G30">
        <v>27</v>
      </c>
    </row>
    <row r="31" spans="1:7">
      <c r="A31" t="s">
        <v>269</v>
      </c>
      <c r="B31" t="s">
        <v>69</v>
      </c>
      <c r="D31" s="94">
        <v>45048</v>
      </c>
      <c r="E31" t="s">
        <v>62</v>
      </c>
      <c r="F31" t="str">
        <f t="shared" si="0"/>
        <v>گزارش مورخ 1402/02/12</v>
      </c>
      <c r="G31">
        <v>28</v>
      </c>
    </row>
    <row r="32" spans="1:7">
      <c r="A32" t="s">
        <v>270</v>
      </c>
      <c r="B32" t="s">
        <v>71</v>
      </c>
      <c r="D32" s="94">
        <v>45049</v>
      </c>
      <c r="E32" t="s">
        <v>66</v>
      </c>
      <c r="F32" t="str">
        <f t="shared" si="0"/>
        <v>گزارش مورخ 1402/02/13</v>
      </c>
      <c r="G32">
        <v>29</v>
      </c>
    </row>
    <row r="33" spans="1:7">
      <c r="A33" s="96">
        <v>45020</v>
      </c>
      <c r="B33" t="s">
        <v>8</v>
      </c>
      <c r="D33" s="94">
        <v>45050</v>
      </c>
      <c r="E33" t="s">
        <v>69</v>
      </c>
      <c r="F33" t="str">
        <f t="shared" si="0"/>
        <v>گزارش مورخ 1402/02/14</v>
      </c>
      <c r="G33">
        <v>30</v>
      </c>
    </row>
    <row r="34" spans="1:7">
      <c r="A34" s="96">
        <v>45021</v>
      </c>
      <c r="B34" t="s">
        <v>15</v>
      </c>
      <c r="D34" s="94">
        <v>45051</v>
      </c>
      <c r="E34" t="s">
        <v>71</v>
      </c>
      <c r="F34" t="str">
        <f t="shared" si="0"/>
        <v>گزارش مورخ 1402/02/15</v>
      </c>
      <c r="G34">
        <v>31</v>
      </c>
    </row>
    <row r="35" spans="1:7">
      <c r="A35" t="s">
        <v>272</v>
      </c>
    </row>
  </sheetData>
  <sortState ref="D4:E34">
    <sortCondition ref="D4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F465-9526-4D9F-9658-5996EAF5D91A}">
  <dimension ref="A3:N54"/>
  <sheetViews>
    <sheetView rightToLeft="1" tabSelected="1" topLeftCell="B1" workbookViewId="0">
      <selection activeCell="I11" sqref="I11"/>
    </sheetView>
  </sheetViews>
  <sheetFormatPr defaultRowHeight="15"/>
  <cols>
    <col min="1" max="1" width="15.85546875" bestFit="1" customWidth="1"/>
    <col min="2" max="2" width="21.140625" bestFit="1" customWidth="1"/>
    <col min="3" max="3" width="11.7109375" bestFit="1" customWidth="1"/>
    <col min="4" max="4" width="15.85546875" bestFit="1" customWidth="1"/>
    <col min="5" max="5" width="20.7109375" bestFit="1" customWidth="1"/>
    <col min="8" max="9" width="16.42578125" bestFit="1" customWidth="1"/>
    <col min="10" max="10" width="24.85546875" bestFit="1" customWidth="1"/>
    <col min="11" max="11" width="10.42578125" bestFit="1" customWidth="1"/>
    <col min="12" max="12" width="19.42578125" bestFit="1" customWidth="1"/>
    <col min="13" max="13" width="24.85546875" bestFit="1" customWidth="1"/>
  </cols>
  <sheetData>
    <row r="3" spans="1:14">
      <c r="A3" s="97" t="s">
        <v>271</v>
      </c>
      <c r="B3" t="s">
        <v>275</v>
      </c>
      <c r="C3" t="s">
        <v>278</v>
      </c>
      <c r="D3" t="s">
        <v>271</v>
      </c>
      <c r="E3" t="s">
        <v>275</v>
      </c>
    </row>
    <row r="4" spans="1:14">
      <c r="A4" s="98" t="s">
        <v>70</v>
      </c>
      <c r="B4" s="99">
        <v>13000000</v>
      </c>
      <c r="C4" s="99">
        <v>1</v>
      </c>
      <c r="D4" t="s">
        <v>11</v>
      </c>
      <c r="E4">
        <v>517000000</v>
      </c>
      <c r="F4">
        <v>1</v>
      </c>
      <c r="G4">
        <v>1</v>
      </c>
      <c r="H4" s="234">
        <f>E4*G4</f>
        <v>517000000</v>
      </c>
      <c r="I4" s="235">
        <f>ROUND((H4*70%)/3,0)</f>
        <v>120633333</v>
      </c>
      <c r="J4" t="str">
        <f>"پرداخت مبلغ"&amp;" "&amp;I4</f>
        <v>پرداخت مبلغ 120633333</v>
      </c>
      <c r="K4" s="94">
        <v>45034</v>
      </c>
      <c r="L4" s="236">
        <v>120633333</v>
      </c>
      <c r="M4" t="s">
        <v>279</v>
      </c>
      <c r="N4">
        <v>1</v>
      </c>
    </row>
    <row r="5" spans="1:14">
      <c r="A5" s="98" t="s">
        <v>63</v>
      </c>
      <c r="B5" s="99">
        <v>12000000</v>
      </c>
      <c r="C5" s="99">
        <v>22</v>
      </c>
      <c r="D5" t="s">
        <v>9</v>
      </c>
      <c r="E5">
        <v>275100000</v>
      </c>
      <c r="F5">
        <v>2</v>
      </c>
      <c r="G5">
        <v>22</v>
      </c>
      <c r="H5" s="234">
        <f t="shared" ref="H5:H20" si="0">E5*G5</f>
        <v>6052200000</v>
      </c>
      <c r="I5" s="235">
        <f t="shared" ref="I5:I20" si="1">ROUND((H5*70%)/3,0)</f>
        <v>1412180000</v>
      </c>
      <c r="J5" t="str">
        <f t="shared" ref="J5:J20" si="2">"پرداخت مبلغ"&amp;" "&amp;I5</f>
        <v>پرداخت مبلغ 1412180000</v>
      </c>
      <c r="K5" s="94">
        <v>45034</v>
      </c>
      <c r="L5" s="236">
        <v>1412180000</v>
      </c>
      <c r="M5" t="s">
        <v>280</v>
      </c>
      <c r="N5">
        <v>2</v>
      </c>
    </row>
    <row r="6" spans="1:14">
      <c r="A6" s="98" t="s">
        <v>39</v>
      </c>
      <c r="B6" s="99">
        <v>39150000</v>
      </c>
      <c r="C6" s="99">
        <v>314</v>
      </c>
      <c r="D6" t="s">
        <v>13</v>
      </c>
      <c r="E6">
        <v>163900000</v>
      </c>
      <c r="F6">
        <v>3</v>
      </c>
      <c r="G6">
        <v>314</v>
      </c>
      <c r="H6" s="234">
        <f t="shared" si="0"/>
        <v>51464600000</v>
      </c>
      <c r="I6" s="235">
        <f t="shared" si="1"/>
        <v>12008406667</v>
      </c>
      <c r="J6" t="str">
        <f t="shared" si="2"/>
        <v>پرداخت مبلغ 12008406667</v>
      </c>
      <c r="K6" s="94">
        <v>45034</v>
      </c>
      <c r="L6" s="236">
        <v>12008406667</v>
      </c>
      <c r="M6" t="s">
        <v>281</v>
      </c>
      <c r="N6">
        <v>3</v>
      </c>
    </row>
    <row r="7" spans="1:14">
      <c r="A7" s="98" t="s">
        <v>13</v>
      </c>
      <c r="B7" s="99">
        <v>163900000</v>
      </c>
      <c r="C7" s="99">
        <v>8800</v>
      </c>
      <c r="D7" t="s">
        <v>28</v>
      </c>
      <c r="E7">
        <v>71400000</v>
      </c>
      <c r="F7">
        <v>4</v>
      </c>
      <c r="G7">
        <v>8800</v>
      </c>
      <c r="H7" s="234">
        <f t="shared" si="0"/>
        <v>628320000000</v>
      </c>
      <c r="I7" s="235">
        <f t="shared" si="1"/>
        <v>146608000000</v>
      </c>
      <c r="J7" t="str">
        <f t="shared" si="2"/>
        <v>پرداخت مبلغ 146608000000</v>
      </c>
      <c r="K7" s="94">
        <v>45034</v>
      </c>
      <c r="L7" s="236">
        <v>146608000000</v>
      </c>
      <c r="M7" t="s">
        <v>282</v>
      </c>
      <c r="N7">
        <v>4</v>
      </c>
    </row>
    <row r="8" spans="1:14">
      <c r="A8" s="98" t="s">
        <v>65</v>
      </c>
      <c r="B8" s="99">
        <v>13000000</v>
      </c>
      <c r="C8" s="99">
        <v>7</v>
      </c>
      <c r="D8" t="s">
        <v>50</v>
      </c>
      <c r="E8">
        <v>50000000</v>
      </c>
      <c r="F8">
        <v>5</v>
      </c>
      <c r="G8">
        <v>7</v>
      </c>
      <c r="H8" s="234">
        <f t="shared" si="0"/>
        <v>350000000</v>
      </c>
      <c r="I8" s="235">
        <f t="shared" si="1"/>
        <v>81666667</v>
      </c>
      <c r="J8" t="str">
        <f t="shared" si="2"/>
        <v>پرداخت مبلغ 81666667</v>
      </c>
      <c r="K8" s="94">
        <v>45034</v>
      </c>
      <c r="L8" s="236">
        <v>81666667</v>
      </c>
      <c r="M8" t="s">
        <v>283</v>
      </c>
      <c r="N8">
        <v>5</v>
      </c>
    </row>
    <row r="9" spans="1:14">
      <c r="A9" s="98" t="s">
        <v>54</v>
      </c>
      <c r="B9" s="99">
        <v>13000000</v>
      </c>
      <c r="C9" s="99">
        <v>10</v>
      </c>
      <c r="D9" t="s">
        <v>39</v>
      </c>
      <c r="E9">
        <v>39150000</v>
      </c>
      <c r="F9">
        <v>6</v>
      </c>
      <c r="G9">
        <v>10</v>
      </c>
      <c r="H9" s="234">
        <f t="shared" si="0"/>
        <v>391500000</v>
      </c>
      <c r="I9" s="235">
        <f t="shared" si="1"/>
        <v>91350000</v>
      </c>
      <c r="J9" t="str">
        <f t="shared" si="2"/>
        <v>پرداخت مبلغ 91350000</v>
      </c>
      <c r="K9" s="94">
        <v>45034</v>
      </c>
      <c r="L9" s="236">
        <v>91350000</v>
      </c>
      <c r="M9" t="s">
        <v>284</v>
      </c>
      <c r="N9">
        <v>6</v>
      </c>
    </row>
    <row r="10" spans="1:14">
      <c r="A10" s="98" t="s">
        <v>59</v>
      </c>
      <c r="B10" s="99">
        <v>13000000</v>
      </c>
      <c r="C10" s="99">
        <v>120</v>
      </c>
      <c r="D10" t="s">
        <v>37</v>
      </c>
      <c r="E10">
        <v>27000000</v>
      </c>
      <c r="F10">
        <v>7</v>
      </c>
      <c r="G10">
        <v>120</v>
      </c>
      <c r="H10" s="234">
        <f t="shared" si="0"/>
        <v>3240000000</v>
      </c>
      <c r="I10" s="235">
        <f t="shared" si="1"/>
        <v>756000000</v>
      </c>
      <c r="J10" t="str">
        <f t="shared" si="2"/>
        <v>پرداخت مبلغ 756000000</v>
      </c>
      <c r="K10" s="94">
        <v>45034</v>
      </c>
      <c r="L10" s="236">
        <v>756000000</v>
      </c>
      <c r="M10" t="s">
        <v>285</v>
      </c>
      <c r="N10">
        <v>7</v>
      </c>
    </row>
    <row r="11" spans="1:14">
      <c r="A11" s="98" t="s">
        <v>22</v>
      </c>
      <c r="B11" s="99">
        <v>11800000</v>
      </c>
      <c r="C11" s="99">
        <v>398</v>
      </c>
      <c r="D11" t="s">
        <v>67</v>
      </c>
      <c r="E11">
        <v>26500000</v>
      </c>
      <c r="F11">
        <v>8</v>
      </c>
      <c r="G11">
        <v>398</v>
      </c>
      <c r="H11" s="234">
        <f t="shared" si="0"/>
        <v>10547000000</v>
      </c>
      <c r="I11" s="235">
        <f t="shared" si="1"/>
        <v>2460966667</v>
      </c>
      <c r="J11" t="str">
        <f t="shared" si="2"/>
        <v>پرداخت مبلغ 2460966667</v>
      </c>
      <c r="K11" s="94">
        <v>45034</v>
      </c>
      <c r="L11" s="236">
        <v>2460966667</v>
      </c>
      <c r="M11" t="s">
        <v>286</v>
      </c>
      <c r="N11">
        <v>8</v>
      </c>
    </row>
    <row r="12" spans="1:14">
      <c r="A12" s="98" t="s">
        <v>37</v>
      </c>
      <c r="B12" s="99">
        <v>27000000</v>
      </c>
      <c r="C12" s="99">
        <v>800</v>
      </c>
      <c r="D12" t="s">
        <v>41</v>
      </c>
      <c r="E12">
        <v>26100000</v>
      </c>
      <c r="F12">
        <v>9</v>
      </c>
      <c r="G12">
        <v>800</v>
      </c>
      <c r="H12" s="234">
        <f t="shared" si="0"/>
        <v>20880000000</v>
      </c>
      <c r="I12" s="235">
        <f t="shared" si="1"/>
        <v>4872000000</v>
      </c>
      <c r="J12" t="str">
        <f t="shared" si="2"/>
        <v>پرداخت مبلغ 4872000000</v>
      </c>
      <c r="K12" s="94">
        <v>45034</v>
      </c>
      <c r="L12" s="236">
        <v>4872000000</v>
      </c>
      <c r="M12" t="s">
        <v>287</v>
      </c>
      <c r="N12">
        <v>9</v>
      </c>
    </row>
    <row r="13" spans="1:14">
      <c r="A13" s="98" t="s">
        <v>28</v>
      </c>
      <c r="B13" s="99">
        <v>71400000</v>
      </c>
      <c r="C13" s="99">
        <v>486</v>
      </c>
      <c r="D13" t="s">
        <v>64</v>
      </c>
      <c r="E13">
        <v>22400000</v>
      </c>
      <c r="F13">
        <v>10</v>
      </c>
      <c r="G13">
        <v>486</v>
      </c>
      <c r="H13" s="234">
        <f t="shared" si="0"/>
        <v>10886400000</v>
      </c>
      <c r="I13" s="235">
        <f t="shared" si="1"/>
        <v>2540160000</v>
      </c>
      <c r="J13" t="str">
        <f t="shared" si="2"/>
        <v>پرداخت مبلغ 2540160000</v>
      </c>
      <c r="K13" s="94">
        <v>45034</v>
      </c>
      <c r="L13" s="236">
        <v>2540160000</v>
      </c>
      <c r="M13" t="s">
        <v>288</v>
      </c>
      <c r="N13">
        <v>10</v>
      </c>
    </row>
    <row r="14" spans="1:14">
      <c r="A14" s="98" t="s">
        <v>41</v>
      </c>
      <c r="B14" s="99">
        <v>26100000</v>
      </c>
      <c r="C14" s="99">
        <v>166</v>
      </c>
      <c r="D14" t="s">
        <v>70</v>
      </c>
      <c r="E14">
        <v>13000000</v>
      </c>
      <c r="F14">
        <v>11</v>
      </c>
      <c r="G14">
        <v>166</v>
      </c>
      <c r="H14" s="234">
        <f t="shared" si="0"/>
        <v>2158000000</v>
      </c>
      <c r="I14" s="235">
        <f t="shared" si="1"/>
        <v>503533333</v>
      </c>
      <c r="J14" t="str">
        <f t="shared" si="2"/>
        <v>پرداخت مبلغ 503533333</v>
      </c>
      <c r="K14" s="94">
        <v>45034</v>
      </c>
      <c r="L14" s="236">
        <v>503533333</v>
      </c>
      <c r="M14" t="s">
        <v>289</v>
      </c>
      <c r="N14">
        <v>11</v>
      </c>
    </row>
    <row r="15" spans="1:14">
      <c r="A15" s="98" t="s">
        <v>48</v>
      </c>
      <c r="B15" s="99">
        <v>13000000</v>
      </c>
      <c r="C15" s="99">
        <v>100</v>
      </c>
      <c r="D15" t="s">
        <v>65</v>
      </c>
      <c r="E15">
        <v>13000000</v>
      </c>
      <c r="F15">
        <v>12</v>
      </c>
      <c r="G15">
        <v>100</v>
      </c>
      <c r="H15" s="234">
        <f t="shared" si="0"/>
        <v>1300000000</v>
      </c>
      <c r="I15" s="235">
        <f t="shared" si="1"/>
        <v>303333333</v>
      </c>
      <c r="J15" t="str">
        <f t="shared" si="2"/>
        <v>پرداخت مبلغ 303333333</v>
      </c>
      <c r="K15" s="94">
        <v>45034</v>
      </c>
      <c r="L15" s="236">
        <v>303333333</v>
      </c>
      <c r="M15" t="s">
        <v>290</v>
      </c>
      <c r="N15">
        <v>12</v>
      </c>
    </row>
    <row r="16" spans="1:14">
      <c r="A16" s="98" t="s">
        <v>67</v>
      </c>
      <c r="B16" s="99">
        <v>26500000</v>
      </c>
      <c r="C16" s="99">
        <v>35</v>
      </c>
      <c r="D16" t="s">
        <v>54</v>
      </c>
      <c r="E16">
        <v>13000000</v>
      </c>
      <c r="F16">
        <v>13</v>
      </c>
      <c r="G16">
        <v>35</v>
      </c>
      <c r="H16" s="234">
        <f t="shared" si="0"/>
        <v>455000000</v>
      </c>
      <c r="I16" s="235">
        <f t="shared" si="1"/>
        <v>106166667</v>
      </c>
      <c r="J16" t="str">
        <f t="shared" si="2"/>
        <v>پرداخت مبلغ 106166667</v>
      </c>
      <c r="K16" s="94">
        <v>45034</v>
      </c>
      <c r="L16" s="236">
        <v>106166667</v>
      </c>
      <c r="M16" t="s">
        <v>291</v>
      </c>
      <c r="N16">
        <v>13</v>
      </c>
    </row>
    <row r="17" spans="1:14">
      <c r="A17" s="98" t="s">
        <v>64</v>
      </c>
      <c r="B17" s="99">
        <v>22400000</v>
      </c>
      <c r="C17" s="99">
        <v>30</v>
      </c>
      <c r="D17" t="s">
        <v>59</v>
      </c>
      <c r="E17">
        <v>13000000</v>
      </c>
      <c r="F17">
        <v>14</v>
      </c>
      <c r="G17">
        <v>30</v>
      </c>
      <c r="H17" s="234">
        <f t="shared" si="0"/>
        <v>390000000</v>
      </c>
      <c r="I17" s="235">
        <f t="shared" si="1"/>
        <v>91000000</v>
      </c>
      <c r="J17" t="str">
        <f t="shared" si="2"/>
        <v>پرداخت مبلغ 91000000</v>
      </c>
      <c r="K17" s="94">
        <v>45034</v>
      </c>
      <c r="L17" s="236">
        <v>91000000</v>
      </c>
      <c r="M17" t="s">
        <v>292</v>
      </c>
      <c r="N17">
        <v>14</v>
      </c>
    </row>
    <row r="18" spans="1:14">
      <c r="A18" s="98" t="s">
        <v>50</v>
      </c>
      <c r="B18" s="99">
        <v>50000000</v>
      </c>
      <c r="C18" s="99">
        <v>1600</v>
      </c>
      <c r="D18" t="s">
        <v>48</v>
      </c>
      <c r="E18">
        <v>13000000</v>
      </c>
      <c r="F18">
        <v>15</v>
      </c>
      <c r="G18">
        <v>1600</v>
      </c>
      <c r="H18" s="234">
        <f t="shared" si="0"/>
        <v>20800000000</v>
      </c>
      <c r="I18" s="235">
        <f t="shared" si="1"/>
        <v>4853333333</v>
      </c>
      <c r="J18" t="str">
        <f t="shared" si="2"/>
        <v>پرداخت مبلغ 4853333333</v>
      </c>
      <c r="K18" s="94">
        <v>45034</v>
      </c>
      <c r="L18" s="236">
        <v>4853333333</v>
      </c>
      <c r="M18" t="s">
        <v>293</v>
      </c>
      <c r="N18">
        <v>15</v>
      </c>
    </row>
    <row r="19" spans="1:14">
      <c r="A19" s="98" t="s">
        <v>11</v>
      </c>
      <c r="B19" s="99">
        <v>517000000</v>
      </c>
      <c r="C19" s="99">
        <v>17197</v>
      </c>
      <c r="D19" t="s">
        <v>63</v>
      </c>
      <c r="E19">
        <v>12000000</v>
      </c>
      <c r="F19">
        <v>16</v>
      </c>
      <c r="G19">
        <v>17197</v>
      </c>
      <c r="H19" s="234">
        <f t="shared" si="0"/>
        <v>206364000000</v>
      </c>
      <c r="I19" s="235">
        <f t="shared" si="1"/>
        <v>48151600000</v>
      </c>
      <c r="J19" t="str">
        <f t="shared" si="2"/>
        <v>پرداخت مبلغ 48151600000</v>
      </c>
      <c r="K19" s="94">
        <v>45034</v>
      </c>
      <c r="L19" s="236">
        <v>48151600000</v>
      </c>
      <c r="M19" t="s">
        <v>294</v>
      </c>
      <c r="N19">
        <v>16</v>
      </c>
    </row>
    <row r="20" spans="1:14">
      <c r="A20" s="98" t="s">
        <v>9</v>
      </c>
      <c r="B20" s="99">
        <v>275100000</v>
      </c>
      <c r="C20" s="99">
        <v>9989</v>
      </c>
      <c r="D20" t="s">
        <v>22</v>
      </c>
      <c r="E20">
        <v>11800000</v>
      </c>
      <c r="F20">
        <v>17</v>
      </c>
      <c r="G20">
        <v>9989</v>
      </c>
      <c r="H20" s="234">
        <f t="shared" si="0"/>
        <v>117870200000</v>
      </c>
      <c r="I20" s="235">
        <f t="shared" si="1"/>
        <v>27503046667</v>
      </c>
      <c r="J20" t="str">
        <f t="shared" si="2"/>
        <v>پرداخت مبلغ 27503046667</v>
      </c>
      <c r="K20" s="94">
        <v>45034</v>
      </c>
      <c r="L20" s="236">
        <v>27503046667</v>
      </c>
      <c r="M20" t="s">
        <v>295</v>
      </c>
      <c r="N20">
        <v>17</v>
      </c>
    </row>
    <row r="21" spans="1:14">
      <c r="A21" s="98" t="s">
        <v>272</v>
      </c>
      <c r="B21" s="99">
        <v>1307350000</v>
      </c>
      <c r="C21" s="99">
        <v>40075</v>
      </c>
      <c r="K21" s="94">
        <v>45042</v>
      </c>
      <c r="L21" s="236">
        <v>120633333</v>
      </c>
      <c r="M21" t="s">
        <v>279</v>
      </c>
      <c r="N21">
        <v>1</v>
      </c>
    </row>
    <row r="22" spans="1:14">
      <c r="K22" s="94">
        <v>45042</v>
      </c>
      <c r="L22" s="236">
        <v>1412180000</v>
      </c>
      <c r="M22" t="s">
        <v>280</v>
      </c>
      <c r="N22">
        <v>2</v>
      </c>
    </row>
    <row r="23" spans="1:14">
      <c r="K23" s="94">
        <v>45042</v>
      </c>
      <c r="L23" s="236">
        <v>12008406667</v>
      </c>
      <c r="M23" t="s">
        <v>281</v>
      </c>
      <c r="N23">
        <v>3</v>
      </c>
    </row>
    <row r="24" spans="1:14">
      <c r="K24" s="94">
        <v>45042</v>
      </c>
      <c r="L24" s="236">
        <v>146608000000</v>
      </c>
      <c r="M24" t="s">
        <v>282</v>
      </c>
      <c r="N24">
        <v>4</v>
      </c>
    </row>
    <row r="25" spans="1:14">
      <c r="K25" s="94">
        <v>45042</v>
      </c>
      <c r="L25" s="236">
        <v>81666667</v>
      </c>
      <c r="M25" t="s">
        <v>283</v>
      </c>
      <c r="N25">
        <v>5</v>
      </c>
    </row>
    <row r="26" spans="1:14">
      <c r="K26" s="94">
        <v>45042</v>
      </c>
      <c r="L26" s="236">
        <v>91350000</v>
      </c>
      <c r="M26" t="s">
        <v>284</v>
      </c>
      <c r="N26">
        <v>6</v>
      </c>
    </row>
    <row r="27" spans="1:14">
      <c r="K27" s="94">
        <v>45042</v>
      </c>
      <c r="L27" s="236">
        <v>756000000</v>
      </c>
      <c r="M27" t="s">
        <v>285</v>
      </c>
      <c r="N27">
        <v>7</v>
      </c>
    </row>
    <row r="28" spans="1:14">
      <c r="K28" s="94">
        <v>45042</v>
      </c>
      <c r="L28" s="236">
        <v>2460966667</v>
      </c>
      <c r="M28" t="s">
        <v>286</v>
      </c>
      <c r="N28">
        <v>8</v>
      </c>
    </row>
    <row r="29" spans="1:14">
      <c r="K29" s="94">
        <v>45042</v>
      </c>
      <c r="L29" s="236">
        <v>4872000000</v>
      </c>
      <c r="M29" t="s">
        <v>287</v>
      </c>
      <c r="N29">
        <v>9</v>
      </c>
    </row>
    <row r="30" spans="1:14">
      <c r="K30" s="94">
        <v>45042</v>
      </c>
      <c r="L30" s="236">
        <v>2540160000</v>
      </c>
      <c r="M30" t="s">
        <v>288</v>
      </c>
      <c r="N30">
        <v>10</v>
      </c>
    </row>
    <row r="31" spans="1:14">
      <c r="K31" s="94">
        <v>45042</v>
      </c>
      <c r="L31" s="236">
        <v>503533333</v>
      </c>
      <c r="M31" t="s">
        <v>289</v>
      </c>
      <c r="N31">
        <v>11</v>
      </c>
    </row>
    <row r="32" spans="1:14">
      <c r="K32" s="94">
        <v>45042</v>
      </c>
      <c r="L32" s="236">
        <v>303333333</v>
      </c>
      <c r="M32" t="s">
        <v>290</v>
      </c>
      <c r="N32">
        <v>12</v>
      </c>
    </row>
    <row r="33" spans="11:14">
      <c r="K33" s="94">
        <v>45042</v>
      </c>
      <c r="L33" s="236">
        <v>106166667</v>
      </c>
      <c r="M33" t="s">
        <v>291</v>
      </c>
      <c r="N33">
        <v>13</v>
      </c>
    </row>
    <row r="34" spans="11:14">
      <c r="K34" s="94">
        <v>45042</v>
      </c>
      <c r="L34" s="236">
        <v>91000000</v>
      </c>
      <c r="M34" t="s">
        <v>292</v>
      </c>
      <c r="N34">
        <v>14</v>
      </c>
    </row>
    <row r="35" spans="11:14">
      <c r="K35" s="94">
        <v>45042</v>
      </c>
      <c r="L35" s="236">
        <v>4853333333</v>
      </c>
      <c r="M35" t="s">
        <v>293</v>
      </c>
      <c r="N35">
        <v>15</v>
      </c>
    </row>
    <row r="36" spans="11:14">
      <c r="K36" s="94">
        <v>45042</v>
      </c>
      <c r="L36" s="236">
        <v>48151600000</v>
      </c>
      <c r="M36" t="s">
        <v>294</v>
      </c>
      <c r="N36">
        <v>16</v>
      </c>
    </row>
    <row r="37" spans="11:14">
      <c r="K37" s="94">
        <v>45042</v>
      </c>
      <c r="L37" s="236">
        <v>27503046667</v>
      </c>
      <c r="M37" t="s">
        <v>295</v>
      </c>
      <c r="N37">
        <v>17</v>
      </c>
    </row>
    <row r="38" spans="11:14">
      <c r="K38" s="94">
        <v>45050</v>
      </c>
      <c r="L38" s="236">
        <v>120633333</v>
      </c>
      <c r="M38" t="s">
        <v>279</v>
      </c>
      <c r="N38">
        <v>1</v>
      </c>
    </row>
    <row r="39" spans="11:14">
      <c r="K39" s="94">
        <v>45050</v>
      </c>
      <c r="L39" s="236">
        <v>1412180000</v>
      </c>
      <c r="M39" t="s">
        <v>280</v>
      </c>
      <c r="N39">
        <v>2</v>
      </c>
    </row>
    <row r="40" spans="11:14">
      <c r="K40" s="94">
        <v>45050</v>
      </c>
      <c r="L40" s="236">
        <v>12008406667</v>
      </c>
      <c r="M40" t="s">
        <v>281</v>
      </c>
      <c r="N40">
        <v>3</v>
      </c>
    </row>
    <row r="41" spans="11:14">
      <c r="K41" s="94">
        <v>45050</v>
      </c>
      <c r="L41" s="236">
        <v>146608000000</v>
      </c>
      <c r="M41" t="s">
        <v>282</v>
      </c>
      <c r="N41">
        <v>4</v>
      </c>
    </row>
    <row r="42" spans="11:14">
      <c r="K42" s="94">
        <v>45050</v>
      </c>
      <c r="L42" s="236">
        <v>81666667</v>
      </c>
      <c r="M42" t="s">
        <v>283</v>
      </c>
      <c r="N42">
        <v>5</v>
      </c>
    </row>
    <row r="43" spans="11:14">
      <c r="K43" s="94">
        <v>45050</v>
      </c>
      <c r="L43" s="236">
        <v>91350000</v>
      </c>
      <c r="M43" t="s">
        <v>284</v>
      </c>
      <c r="N43">
        <v>6</v>
      </c>
    </row>
    <row r="44" spans="11:14">
      <c r="K44" s="94">
        <v>45050</v>
      </c>
      <c r="L44" s="236">
        <v>756000000</v>
      </c>
      <c r="M44" t="s">
        <v>285</v>
      </c>
      <c r="N44">
        <v>7</v>
      </c>
    </row>
    <row r="45" spans="11:14">
      <c r="K45" s="94">
        <v>45050</v>
      </c>
      <c r="L45" s="236">
        <v>2460966667</v>
      </c>
      <c r="M45" t="s">
        <v>286</v>
      </c>
      <c r="N45">
        <v>8</v>
      </c>
    </row>
    <row r="46" spans="11:14">
      <c r="K46" s="94">
        <v>45050</v>
      </c>
      <c r="L46" s="236">
        <v>4872000000</v>
      </c>
      <c r="M46" t="s">
        <v>287</v>
      </c>
      <c r="N46">
        <v>9</v>
      </c>
    </row>
    <row r="47" spans="11:14">
      <c r="K47" s="94">
        <v>45050</v>
      </c>
      <c r="L47" s="236">
        <v>2540160000</v>
      </c>
      <c r="M47" t="s">
        <v>288</v>
      </c>
      <c r="N47">
        <v>10</v>
      </c>
    </row>
    <row r="48" spans="11:14">
      <c r="K48" s="94">
        <v>45050</v>
      </c>
      <c r="L48" s="236">
        <v>503533333</v>
      </c>
      <c r="M48" t="s">
        <v>289</v>
      </c>
      <c r="N48">
        <v>11</v>
      </c>
    </row>
    <row r="49" spans="11:14">
      <c r="K49" s="94">
        <v>45050</v>
      </c>
      <c r="L49" s="236">
        <v>303333333</v>
      </c>
      <c r="M49" t="s">
        <v>290</v>
      </c>
      <c r="N49">
        <v>12</v>
      </c>
    </row>
    <row r="50" spans="11:14">
      <c r="K50" s="94">
        <v>45050</v>
      </c>
      <c r="L50" s="236">
        <v>106166667</v>
      </c>
      <c r="M50" t="s">
        <v>291</v>
      </c>
      <c r="N50">
        <v>13</v>
      </c>
    </row>
    <row r="51" spans="11:14">
      <c r="K51" s="94">
        <v>45050</v>
      </c>
      <c r="L51" s="236">
        <v>91000000</v>
      </c>
      <c r="M51" t="s">
        <v>292</v>
      </c>
      <c r="N51">
        <v>14</v>
      </c>
    </row>
    <row r="52" spans="11:14">
      <c r="K52" s="94">
        <v>45050</v>
      </c>
      <c r="L52" s="236">
        <v>4853333333</v>
      </c>
      <c r="M52" t="s">
        <v>293</v>
      </c>
      <c r="N52">
        <v>15</v>
      </c>
    </row>
    <row r="53" spans="11:14">
      <c r="K53" s="94">
        <v>45050</v>
      </c>
      <c r="L53" s="236">
        <v>48151600000</v>
      </c>
      <c r="M53" t="s">
        <v>294</v>
      </c>
      <c r="N53">
        <v>16</v>
      </c>
    </row>
    <row r="54" spans="11:14">
      <c r="K54" s="94">
        <v>45050</v>
      </c>
      <c r="L54" s="236">
        <v>27503046667</v>
      </c>
      <c r="M54" t="s">
        <v>295</v>
      </c>
      <c r="N54">
        <v>17</v>
      </c>
    </row>
  </sheetData>
  <sortState ref="D4:E20">
    <sortCondition descending="1" ref="E4:E20"/>
  </sortSt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316E-73AF-48F9-BAF8-0EFC92CFA6C2}">
  <dimension ref="A1:I119"/>
  <sheetViews>
    <sheetView rightToLeft="1" topLeftCell="A61" workbookViewId="0">
      <selection activeCell="A71" sqref="A71"/>
    </sheetView>
  </sheetViews>
  <sheetFormatPr defaultRowHeight="15"/>
  <cols>
    <col min="1" max="1" width="10.42578125" bestFit="1" customWidth="1"/>
    <col min="2" max="2" width="15.85546875" bestFit="1" customWidth="1"/>
    <col min="7" max="7" width="10.7109375" bestFit="1" customWidth="1"/>
    <col min="8" max="8" width="12.42578125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273</v>
      </c>
      <c r="H1" t="s">
        <v>276</v>
      </c>
      <c r="I1" t="s">
        <v>277</v>
      </c>
    </row>
    <row r="2" spans="1:9">
      <c r="A2" s="94">
        <v>45020</v>
      </c>
      <c r="B2" t="s">
        <v>9</v>
      </c>
      <c r="C2">
        <v>13264</v>
      </c>
      <c r="D2" t="s">
        <v>10</v>
      </c>
      <c r="E2">
        <v>9960000</v>
      </c>
      <c r="F2">
        <v>400</v>
      </c>
      <c r="G2" t="s">
        <v>8</v>
      </c>
      <c r="H2">
        <f>VLOOKUP(B2,Sheet5!$D$4:$F$20,3,0)</f>
        <v>2</v>
      </c>
      <c r="I2">
        <f>VLOOKUP(A2,Sheet3!$D$4:$G$34,4,0)</f>
        <v>1</v>
      </c>
    </row>
    <row r="3" spans="1:9">
      <c r="A3" s="94">
        <v>45020</v>
      </c>
      <c r="B3" t="s">
        <v>9</v>
      </c>
      <c r="C3">
        <v>13265</v>
      </c>
      <c r="D3" t="s">
        <v>10</v>
      </c>
      <c r="E3">
        <v>9960000</v>
      </c>
      <c r="F3">
        <v>400</v>
      </c>
      <c r="G3" t="s">
        <v>8</v>
      </c>
      <c r="H3">
        <f>VLOOKUP(B3,Sheet5!$D$4:$F$20,3,0)</f>
        <v>2</v>
      </c>
      <c r="I3">
        <f>VLOOKUP(A3,Sheet3!$D$4:$G$34,4,0)</f>
        <v>1</v>
      </c>
    </row>
    <row r="4" spans="1:9">
      <c r="A4" s="94">
        <v>45020</v>
      </c>
      <c r="B4" t="s">
        <v>11</v>
      </c>
      <c r="C4">
        <v>13267</v>
      </c>
      <c r="D4" t="s">
        <v>12</v>
      </c>
      <c r="E4">
        <v>12000000</v>
      </c>
      <c r="F4">
        <v>400</v>
      </c>
      <c r="G4" t="s">
        <v>8</v>
      </c>
      <c r="H4">
        <f>VLOOKUP(B4,Sheet5!$D$4:$F$20,3,0)</f>
        <v>1</v>
      </c>
      <c r="I4">
        <f>VLOOKUP(A4,Sheet3!$D$4:$G$34,4,0)</f>
        <v>1</v>
      </c>
    </row>
    <row r="5" spans="1:9">
      <c r="A5" s="94">
        <v>45020</v>
      </c>
      <c r="B5" t="s">
        <v>13</v>
      </c>
      <c r="C5">
        <v>13268</v>
      </c>
      <c r="D5" t="s">
        <v>14</v>
      </c>
      <c r="E5">
        <v>7450000</v>
      </c>
      <c r="F5">
        <v>400</v>
      </c>
      <c r="G5" t="s">
        <v>8</v>
      </c>
      <c r="H5">
        <f>VLOOKUP(B5,Sheet5!$D$4:$F$20,3,0)</f>
        <v>3</v>
      </c>
      <c r="I5">
        <f>VLOOKUP(A5,Sheet3!$D$4:$G$34,4,0)</f>
        <v>1</v>
      </c>
    </row>
    <row r="6" spans="1:9">
      <c r="A6" s="94">
        <v>45021</v>
      </c>
      <c r="B6" t="s">
        <v>9</v>
      </c>
      <c r="C6">
        <v>13270</v>
      </c>
      <c r="D6" t="s">
        <v>10</v>
      </c>
      <c r="E6">
        <v>9960000</v>
      </c>
      <c r="F6">
        <v>400</v>
      </c>
      <c r="G6" t="s">
        <v>15</v>
      </c>
      <c r="H6">
        <f>VLOOKUP(B6,Sheet5!$D$4:$F$20,3,0)</f>
        <v>2</v>
      </c>
      <c r="I6">
        <f>VLOOKUP(A6,Sheet3!$D$4:$G$34,4,0)</f>
        <v>2</v>
      </c>
    </row>
    <row r="7" spans="1:9">
      <c r="A7" s="94">
        <v>45021</v>
      </c>
      <c r="B7" t="s">
        <v>9</v>
      </c>
      <c r="C7">
        <v>13271</v>
      </c>
      <c r="D7" t="s">
        <v>10</v>
      </c>
      <c r="E7">
        <v>9960000</v>
      </c>
      <c r="F7">
        <v>393</v>
      </c>
      <c r="G7" t="s">
        <v>15</v>
      </c>
      <c r="H7">
        <f>VLOOKUP(B7,Sheet5!$D$4:$F$20,3,0)</f>
        <v>2</v>
      </c>
      <c r="I7">
        <f>VLOOKUP(A7,Sheet3!$D$4:$G$34,4,0)</f>
        <v>2</v>
      </c>
    </row>
    <row r="8" spans="1:9">
      <c r="A8" s="94">
        <v>45021</v>
      </c>
      <c r="B8" t="s">
        <v>13</v>
      </c>
      <c r="C8">
        <v>13272</v>
      </c>
      <c r="D8" t="s">
        <v>14</v>
      </c>
      <c r="E8">
        <v>7450000</v>
      </c>
      <c r="F8">
        <v>400</v>
      </c>
      <c r="G8" t="s">
        <v>15</v>
      </c>
      <c r="H8">
        <f>VLOOKUP(B8,Sheet5!$D$4:$F$20,3,0)</f>
        <v>3</v>
      </c>
      <c r="I8">
        <f>VLOOKUP(A8,Sheet3!$D$4:$G$34,4,0)</f>
        <v>2</v>
      </c>
    </row>
    <row r="9" spans="1:9">
      <c r="A9" s="94">
        <v>45021</v>
      </c>
      <c r="B9" t="s">
        <v>11</v>
      </c>
      <c r="C9">
        <v>13273</v>
      </c>
      <c r="D9" t="s">
        <v>12</v>
      </c>
      <c r="E9">
        <v>12000000</v>
      </c>
      <c r="F9">
        <v>400</v>
      </c>
      <c r="G9" t="s">
        <v>15</v>
      </c>
      <c r="H9">
        <f>VLOOKUP(B9,Sheet5!$D$4:$F$20,3,0)</f>
        <v>1</v>
      </c>
      <c r="I9">
        <f>VLOOKUP(A9,Sheet3!$D$4:$G$34,4,0)</f>
        <v>2</v>
      </c>
    </row>
    <row r="10" spans="1:9">
      <c r="A10" s="94">
        <v>45022</v>
      </c>
      <c r="B10" t="s">
        <v>9</v>
      </c>
      <c r="C10">
        <v>13274</v>
      </c>
      <c r="D10" t="s">
        <v>17</v>
      </c>
      <c r="E10">
        <v>11700000</v>
      </c>
      <c r="F10">
        <v>400</v>
      </c>
      <c r="G10" t="s">
        <v>16</v>
      </c>
      <c r="H10">
        <f>VLOOKUP(B10,Sheet5!$D$4:$F$20,3,0)</f>
        <v>2</v>
      </c>
      <c r="I10">
        <f>VLOOKUP(A10,Sheet3!$D$4:$G$34,4,0)</f>
        <v>23</v>
      </c>
    </row>
    <row r="11" spans="1:9">
      <c r="A11" s="94">
        <v>45022</v>
      </c>
      <c r="B11" t="s">
        <v>9</v>
      </c>
      <c r="C11">
        <v>13275</v>
      </c>
      <c r="D11" t="s">
        <v>17</v>
      </c>
      <c r="E11">
        <v>11700000</v>
      </c>
      <c r="F11">
        <v>400</v>
      </c>
      <c r="G11" t="s">
        <v>16</v>
      </c>
      <c r="H11">
        <f>VLOOKUP(B11,Sheet5!$D$4:$F$20,3,0)</f>
        <v>2</v>
      </c>
      <c r="I11">
        <f>VLOOKUP(A11,Sheet3!$D$4:$G$34,4,0)</f>
        <v>23</v>
      </c>
    </row>
    <row r="12" spans="1:9">
      <c r="A12" s="94">
        <v>45022</v>
      </c>
      <c r="B12" t="s">
        <v>11</v>
      </c>
      <c r="C12">
        <v>13276</v>
      </c>
      <c r="D12" t="s">
        <v>12</v>
      </c>
      <c r="E12">
        <v>12000000</v>
      </c>
      <c r="F12">
        <v>400</v>
      </c>
      <c r="G12" t="s">
        <v>16</v>
      </c>
      <c r="H12">
        <f>VLOOKUP(B12,Sheet5!$D$4:$F$20,3,0)</f>
        <v>1</v>
      </c>
      <c r="I12">
        <f>VLOOKUP(A12,Sheet3!$D$4:$G$34,4,0)</f>
        <v>23</v>
      </c>
    </row>
    <row r="13" spans="1:9">
      <c r="A13" s="94">
        <v>45022</v>
      </c>
      <c r="B13" t="s">
        <v>11</v>
      </c>
      <c r="C13">
        <v>13277</v>
      </c>
      <c r="D13" t="s">
        <v>12</v>
      </c>
      <c r="E13">
        <v>12000000</v>
      </c>
      <c r="F13">
        <v>400</v>
      </c>
      <c r="G13" t="s">
        <v>16</v>
      </c>
      <c r="H13">
        <f>VLOOKUP(B13,Sheet5!$D$4:$F$20,3,0)</f>
        <v>1</v>
      </c>
      <c r="I13">
        <f>VLOOKUP(A13,Sheet3!$D$4:$G$34,4,0)</f>
        <v>23</v>
      </c>
    </row>
    <row r="14" spans="1:9">
      <c r="A14" s="94">
        <v>45023</v>
      </c>
      <c r="B14" t="s">
        <v>11</v>
      </c>
      <c r="C14">
        <v>13278</v>
      </c>
      <c r="D14" t="s">
        <v>12</v>
      </c>
      <c r="E14">
        <v>12000000</v>
      </c>
      <c r="F14">
        <v>400</v>
      </c>
      <c r="G14" t="s">
        <v>18</v>
      </c>
      <c r="H14">
        <f>VLOOKUP(B14,Sheet5!$D$4:$F$20,3,0)</f>
        <v>1</v>
      </c>
      <c r="I14">
        <f>VLOOKUP(A14,Sheet3!$D$4:$G$34,4,0)</f>
        <v>24</v>
      </c>
    </row>
    <row r="15" spans="1:9">
      <c r="A15" s="94">
        <v>45023</v>
      </c>
      <c r="B15" t="s">
        <v>9</v>
      </c>
      <c r="C15">
        <v>13279</v>
      </c>
      <c r="D15" t="s">
        <v>17</v>
      </c>
      <c r="E15">
        <v>11700000</v>
      </c>
      <c r="F15">
        <v>400</v>
      </c>
      <c r="G15" t="s">
        <v>18</v>
      </c>
      <c r="H15">
        <f>VLOOKUP(B15,Sheet5!$D$4:$F$20,3,0)</f>
        <v>2</v>
      </c>
      <c r="I15">
        <f>VLOOKUP(A15,Sheet3!$D$4:$G$34,4,0)</f>
        <v>24</v>
      </c>
    </row>
    <row r="16" spans="1:9">
      <c r="A16" s="94">
        <v>45023</v>
      </c>
      <c r="B16" t="s">
        <v>13</v>
      </c>
      <c r="C16">
        <v>13281</v>
      </c>
      <c r="D16" t="s">
        <v>14</v>
      </c>
      <c r="E16">
        <v>7450000</v>
      </c>
      <c r="F16">
        <v>400</v>
      </c>
      <c r="G16" t="s">
        <v>18</v>
      </c>
      <c r="H16">
        <f>VLOOKUP(B16,Sheet5!$D$4:$F$20,3,0)</f>
        <v>3</v>
      </c>
      <c r="I16">
        <f>VLOOKUP(A16,Sheet3!$D$4:$G$34,4,0)</f>
        <v>24</v>
      </c>
    </row>
    <row r="17" spans="1:9">
      <c r="A17" s="94">
        <v>45024</v>
      </c>
      <c r="B17" t="s">
        <v>9</v>
      </c>
      <c r="C17">
        <v>13280</v>
      </c>
      <c r="D17" t="s">
        <v>17</v>
      </c>
      <c r="E17">
        <v>11700000</v>
      </c>
      <c r="F17">
        <v>400</v>
      </c>
      <c r="G17" t="s">
        <v>19</v>
      </c>
      <c r="H17">
        <f>VLOOKUP(B17,Sheet5!$D$4:$F$20,3,0)</f>
        <v>2</v>
      </c>
      <c r="I17">
        <f>VLOOKUP(A17,Sheet3!$D$4:$G$34,4,0)</f>
        <v>25</v>
      </c>
    </row>
    <row r="18" spans="1:9">
      <c r="A18" s="94">
        <v>45024</v>
      </c>
      <c r="B18" t="s">
        <v>9</v>
      </c>
      <c r="C18">
        <v>13282</v>
      </c>
      <c r="D18" t="s">
        <v>17</v>
      </c>
      <c r="E18">
        <v>11700000</v>
      </c>
      <c r="F18">
        <v>400</v>
      </c>
      <c r="G18" t="s">
        <v>19</v>
      </c>
      <c r="H18">
        <f>VLOOKUP(B18,Sheet5!$D$4:$F$20,3,0)</f>
        <v>2</v>
      </c>
      <c r="I18">
        <f>VLOOKUP(A18,Sheet3!$D$4:$G$34,4,0)</f>
        <v>25</v>
      </c>
    </row>
    <row r="19" spans="1:9">
      <c r="A19" s="94">
        <v>45024</v>
      </c>
      <c r="B19" t="s">
        <v>11</v>
      </c>
      <c r="C19">
        <v>13284</v>
      </c>
      <c r="D19" t="s">
        <v>12</v>
      </c>
      <c r="E19">
        <v>12000000</v>
      </c>
      <c r="F19">
        <v>400</v>
      </c>
      <c r="G19" t="s">
        <v>19</v>
      </c>
      <c r="H19">
        <f>VLOOKUP(B19,Sheet5!$D$4:$F$20,3,0)</f>
        <v>1</v>
      </c>
      <c r="I19">
        <f>VLOOKUP(A19,Sheet3!$D$4:$G$34,4,0)</f>
        <v>25</v>
      </c>
    </row>
    <row r="20" spans="1:9">
      <c r="A20" s="94">
        <v>45024</v>
      </c>
      <c r="B20" t="s">
        <v>11</v>
      </c>
      <c r="C20">
        <v>13285</v>
      </c>
      <c r="D20" t="s">
        <v>12</v>
      </c>
      <c r="E20">
        <v>12000000</v>
      </c>
      <c r="F20">
        <v>400</v>
      </c>
      <c r="G20" t="s">
        <v>19</v>
      </c>
      <c r="H20">
        <f>VLOOKUP(B20,Sheet5!$D$4:$F$20,3,0)</f>
        <v>1</v>
      </c>
      <c r="I20">
        <f>VLOOKUP(A20,Sheet3!$D$4:$G$34,4,0)</f>
        <v>25</v>
      </c>
    </row>
    <row r="21" spans="1:9">
      <c r="A21" s="94">
        <v>45025</v>
      </c>
      <c r="B21" t="s">
        <v>9</v>
      </c>
      <c r="C21">
        <v>13286</v>
      </c>
      <c r="D21" t="s">
        <v>17</v>
      </c>
      <c r="E21">
        <v>11700000</v>
      </c>
      <c r="F21">
        <v>400</v>
      </c>
      <c r="G21" t="s">
        <v>20</v>
      </c>
      <c r="H21">
        <f>VLOOKUP(B21,Sheet5!$D$4:$F$20,3,0)</f>
        <v>2</v>
      </c>
      <c r="I21">
        <f>VLOOKUP(A21,Sheet3!$D$4:$G$34,4,0)</f>
        <v>26</v>
      </c>
    </row>
    <row r="22" spans="1:9">
      <c r="A22" s="94">
        <v>45025</v>
      </c>
      <c r="B22" t="s">
        <v>11</v>
      </c>
      <c r="C22">
        <v>13288</v>
      </c>
      <c r="D22" t="s">
        <v>12</v>
      </c>
      <c r="E22">
        <v>12000000</v>
      </c>
      <c r="F22">
        <v>400</v>
      </c>
      <c r="G22" t="s">
        <v>20</v>
      </c>
      <c r="H22">
        <f>VLOOKUP(B22,Sheet5!$D$4:$F$20,3,0)</f>
        <v>1</v>
      </c>
      <c r="I22">
        <f>VLOOKUP(A22,Sheet3!$D$4:$G$34,4,0)</f>
        <v>26</v>
      </c>
    </row>
    <row r="23" spans="1:9">
      <c r="A23" s="94">
        <v>45025</v>
      </c>
      <c r="B23" t="s">
        <v>13</v>
      </c>
      <c r="C23">
        <v>13290</v>
      </c>
      <c r="D23" t="s">
        <v>14</v>
      </c>
      <c r="E23">
        <v>7450000</v>
      </c>
      <c r="F23">
        <v>400</v>
      </c>
      <c r="G23" t="s">
        <v>20</v>
      </c>
      <c r="H23">
        <f>VLOOKUP(B23,Sheet5!$D$4:$F$20,3,0)</f>
        <v>3</v>
      </c>
      <c r="I23">
        <f>VLOOKUP(A23,Sheet3!$D$4:$G$34,4,0)</f>
        <v>26</v>
      </c>
    </row>
    <row r="24" spans="1:9">
      <c r="A24" s="94">
        <v>45026</v>
      </c>
      <c r="B24" t="s">
        <v>9</v>
      </c>
      <c r="C24">
        <v>13283</v>
      </c>
      <c r="D24" t="s">
        <v>17</v>
      </c>
      <c r="E24">
        <v>11700000</v>
      </c>
      <c r="F24">
        <v>400</v>
      </c>
      <c r="G24" t="s">
        <v>21</v>
      </c>
      <c r="H24">
        <f>VLOOKUP(B24,Sheet5!$D$4:$F$20,3,0)</f>
        <v>2</v>
      </c>
      <c r="I24">
        <f>VLOOKUP(A24,Sheet3!$D$4:$G$34,4,0)</f>
        <v>3</v>
      </c>
    </row>
    <row r="25" spans="1:9">
      <c r="A25" s="94">
        <v>45026</v>
      </c>
      <c r="B25" t="s">
        <v>11</v>
      </c>
      <c r="C25">
        <v>13289</v>
      </c>
      <c r="D25" t="s">
        <v>12</v>
      </c>
      <c r="E25">
        <v>12000000</v>
      </c>
      <c r="F25">
        <v>400</v>
      </c>
      <c r="G25" t="s">
        <v>21</v>
      </c>
      <c r="H25">
        <f>VLOOKUP(B25,Sheet5!$D$4:$F$20,3,0)</f>
        <v>1</v>
      </c>
      <c r="I25">
        <f>VLOOKUP(A25,Sheet3!$D$4:$G$34,4,0)</f>
        <v>3</v>
      </c>
    </row>
    <row r="26" spans="1:9">
      <c r="A26" s="94">
        <v>45026</v>
      </c>
      <c r="B26" t="s">
        <v>11</v>
      </c>
      <c r="C26">
        <v>13291</v>
      </c>
      <c r="D26" t="s">
        <v>12</v>
      </c>
      <c r="E26">
        <v>12000000</v>
      </c>
      <c r="F26">
        <v>400</v>
      </c>
      <c r="G26" t="s">
        <v>21</v>
      </c>
      <c r="H26">
        <f>VLOOKUP(B26,Sheet5!$D$4:$F$20,3,0)</f>
        <v>1</v>
      </c>
      <c r="I26">
        <f>VLOOKUP(A26,Sheet3!$D$4:$G$34,4,0)</f>
        <v>3</v>
      </c>
    </row>
    <row r="27" spans="1:9">
      <c r="A27" s="94">
        <v>45026</v>
      </c>
      <c r="B27" t="s">
        <v>22</v>
      </c>
      <c r="C27">
        <v>13292</v>
      </c>
      <c r="D27" t="s">
        <v>23</v>
      </c>
      <c r="E27">
        <v>11800000</v>
      </c>
      <c r="F27">
        <v>398</v>
      </c>
      <c r="G27" t="s">
        <v>21</v>
      </c>
      <c r="H27">
        <f>VLOOKUP(B27,Sheet5!$D$4:$F$20,3,0)</f>
        <v>17</v>
      </c>
      <c r="I27">
        <f>VLOOKUP(A27,Sheet3!$D$4:$G$34,4,0)</f>
        <v>3</v>
      </c>
    </row>
    <row r="28" spans="1:9">
      <c r="A28" s="94">
        <v>45027</v>
      </c>
      <c r="B28" t="s">
        <v>9</v>
      </c>
      <c r="C28">
        <v>13287</v>
      </c>
      <c r="D28" t="s">
        <v>17</v>
      </c>
      <c r="E28">
        <v>11700000</v>
      </c>
      <c r="F28">
        <v>400</v>
      </c>
      <c r="G28" t="s">
        <v>24</v>
      </c>
      <c r="H28">
        <f>VLOOKUP(B28,Sheet5!$D$4:$F$20,3,0)</f>
        <v>2</v>
      </c>
      <c r="I28">
        <f>VLOOKUP(A28,Sheet3!$D$4:$G$34,4,0)</f>
        <v>4</v>
      </c>
    </row>
    <row r="29" spans="1:9">
      <c r="A29" s="94">
        <v>45027</v>
      </c>
      <c r="B29" t="s">
        <v>13</v>
      </c>
      <c r="C29">
        <v>13296</v>
      </c>
      <c r="D29" t="s">
        <v>25</v>
      </c>
      <c r="E29">
        <v>7450000</v>
      </c>
      <c r="F29">
        <v>400</v>
      </c>
      <c r="G29" t="s">
        <v>24</v>
      </c>
      <c r="H29">
        <f>VLOOKUP(B29,Sheet5!$D$4:$F$20,3,0)</f>
        <v>3</v>
      </c>
      <c r="I29">
        <f>VLOOKUP(A29,Sheet3!$D$4:$G$34,4,0)</f>
        <v>4</v>
      </c>
    </row>
    <row r="30" spans="1:9">
      <c r="A30" s="94">
        <v>45028</v>
      </c>
      <c r="B30" t="s">
        <v>13</v>
      </c>
      <c r="C30">
        <v>13295</v>
      </c>
      <c r="D30" t="s">
        <v>14</v>
      </c>
      <c r="E30">
        <v>7450000</v>
      </c>
      <c r="F30">
        <v>400</v>
      </c>
      <c r="G30" t="s">
        <v>26</v>
      </c>
      <c r="H30">
        <f>VLOOKUP(B30,Sheet5!$D$4:$F$20,3,0)</f>
        <v>3</v>
      </c>
      <c r="I30">
        <f>VLOOKUP(A30,Sheet3!$D$4:$G$34,4,0)</f>
        <v>5</v>
      </c>
    </row>
    <row r="31" spans="1:9">
      <c r="A31" s="94">
        <v>45028</v>
      </c>
      <c r="B31" t="s">
        <v>11</v>
      </c>
      <c r="C31">
        <v>13299</v>
      </c>
      <c r="D31" t="s">
        <v>12</v>
      </c>
      <c r="E31">
        <v>12000000</v>
      </c>
      <c r="F31">
        <v>400</v>
      </c>
      <c r="G31" t="s">
        <v>26</v>
      </c>
      <c r="H31">
        <f>VLOOKUP(B31,Sheet5!$D$4:$F$20,3,0)</f>
        <v>1</v>
      </c>
      <c r="I31">
        <f>VLOOKUP(A31,Sheet3!$D$4:$G$34,4,0)</f>
        <v>5</v>
      </c>
    </row>
    <row r="32" spans="1:9">
      <c r="A32" s="94">
        <v>45029</v>
      </c>
      <c r="B32" t="s">
        <v>28</v>
      </c>
      <c r="C32">
        <v>13298</v>
      </c>
      <c r="D32" t="s">
        <v>29</v>
      </c>
      <c r="E32">
        <v>11900000</v>
      </c>
      <c r="F32">
        <v>50</v>
      </c>
      <c r="G32" t="s">
        <v>27</v>
      </c>
      <c r="H32">
        <f>VLOOKUP(B32,Sheet5!$D$4:$F$20,3,0)</f>
        <v>4</v>
      </c>
      <c r="I32">
        <f>VLOOKUP(A32,Sheet3!$D$4:$G$34,4,0)</f>
        <v>6</v>
      </c>
    </row>
    <row r="33" spans="1:9">
      <c r="A33" s="94">
        <v>45029</v>
      </c>
      <c r="B33" t="s">
        <v>11</v>
      </c>
      <c r="C33">
        <v>13301</v>
      </c>
      <c r="D33" t="s">
        <v>12</v>
      </c>
      <c r="E33">
        <v>12000000</v>
      </c>
      <c r="F33">
        <v>400</v>
      </c>
      <c r="G33" t="s">
        <v>27</v>
      </c>
      <c r="H33">
        <f>VLOOKUP(B33,Sheet5!$D$4:$F$20,3,0)</f>
        <v>1</v>
      </c>
      <c r="I33">
        <f>VLOOKUP(A33,Sheet3!$D$4:$G$34,4,0)</f>
        <v>6</v>
      </c>
    </row>
    <row r="34" spans="1:9">
      <c r="A34" s="94">
        <v>45030</v>
      </c>
      <c r="B34" t="s">
        <v>13</v>
      </c>
      <c r="C34">
        <v>13300</v>
      </c>
      <c r="D34" t="s">
        <v>31</v>
      </c>
      <c r="E34">
        <v>7450000</v>
      </c>
      <c r="F34">
        <v>400</v>
      </c>
      <c r="G34" t="s">
        <v>30</v>
      </c>
      <c r="H34">
        <f>VLOOKUP(B34,Sheet5!$D$4:$F$20,3,0)</f>
        <v>3</v>
      </c>
      <c r="I34">
        <f>VLOOKUP(A34,Sheet3!$D$4:$G$34,4,0)</f>
        <v>7</v>
      </c>
    </row>
    <row r="35" spans="1:9">
      <c r="A35" s="94">
        <v>45030</v>
      </c>
      <c r="B35" t="s">
        <v>11</v>
      </c>
      <c r="C35">
        <v>13302</v>
      </c>
      <c r="D35" t="s">
        <v>12</v>
      </c>
      <c r="E35">
        <v>12000000</v>
      </c>
      <c r="F35">
        <v>400</v>
      </c>
      <c r="G35" t="s">
        <v>30</v>
      </c>
      <c r="H35">
        <f>VLOOKUP(B35,Sheet5!$D$4:$F$20,3,0)</f>
        <v>1</v>
      </c>
      <c r="I35">
        <f>VLOOKUP(A35,Sheet3!$D$4:$G$34,4,0)</f>
        <v>7</v>
      </c>
    </row>
    <row r="36" spans="1:9">
      <c r="A36" s="94">
        <v>45031</v>
      </c>
      <c r="B36" t="s">
        <v>11</v>
      </c>
      <c r="C36">
        <v>13305</v>
      </c>
      <c r="D36" t="s">
        <v>12</v>
      </c>
      <c r="E36">
        <v>12000000</v>
      </c>
      <c r="F36">
        <v>400</v>
      </c>
      <c r="G36" t="s">
        <v>32</v>
      </c>
      <c r="H36">
        <f>VLOOKUP(B36,Sheet5!$D$4:$F$20,3,0)</f>
        <v>1</v>
      </c>
      <c r="I36">
        <f>VLOOKUP(A36,Sheet3!$D$4:$G$34,4,0)</f>
        <v>8</v>
      </c>
    </row>
    <row r="37" spans="1:9">
      <c r="A37" s="94">
        <v>45031</v>
      </c>
      <c r="B37" t="s">
        <v>13</v>
      </c>
      <c r="C37">
        <v>13306</v>
      </c>
      <c r="D37" t="s">
        <v>14</v>
      </c>
      <c r="E37">
        <v>7450000</v>
      </c>
      <c r="F37">
        <v>400</v>
      </c>
      <c r="G37" t="s">
        <v>32</v>
      </c>
      <c r="H37">
        <f>VLOOKUP(B37,Sheet5!$D$4:$F$20,3,0)</f>
        <v>3</v>
      </c>
      <c r="I37">
        <f>VLOOKUP(A37,Sheet3!$D$4:$G$34,4,0)</f>
        <v>8</v>
      </c>
    </row>
    <row r="38" spans="1:9">
      <c r="A38" s="94">
        <v>45031</v>
      </c>
      <c r="B38" t="s">
        <v>13</v>
      </c>
      <c r="C38">
        <v>13307</v>
      </c>
      <c r="D38" t="s">
        <v>33</v>
      </c>
      <c r="E38">
        <v>7450000</v>
      </c>
      <c r="F38">
        <v>400</v>
      </c>
      <c r="G38" t="s">
        <v>32</v>
      </c>
      <c r="H38">
        <f>VLOOKUP(B38,Sheet5!$D$4:$F$20,3,0)</f>
        <v>3</v>
      </c>
      <c r="I38">
        <f>VLOOKUP(A38,Sheet3!$D$4:$G$34,4,0)</f>
        <v>8</v>
      </c>
    </row>
    <row r="39" spans="1:9">
      <c r="A39" s="94">
        <v>45032</v>
      </c>
      <c r="B39" t="s">
        <v>13</v>
      </c>
      <c r="C39">
        <v>13308</v>
      </c>
      <c r="D39" t="s">
        <v>14</v>
      </c>
      <c r="E39">
        <v>7450000</v>
      </c>
      <c r="F39">
        <v>400</v>
      </c>
      <c r="G39" t="s">
        <v>34</v>
      </c>
      <c r="H39">
        <f>VLOOKUP(B39,Sheet5!$D$4:$F$20,3,0)</f>
        <v>3</v>
      </c>
      <c r="I39">
        <f>VLOOKUP(A39,Sheet3!$D$4:$G$34,4,0)</f>
        <v>9</v>
      </c>
    </row>
    <row r="40" spans="1:9">
      <c r="A40" s="94">
        <v>45032</v>
      </c>
      <c r="B40" t="s">
        <v>13</v>
      </c>
      <c r="C40">
        <v>13309</v>
      </c>
      <c r="D40" t="s">
        <v>14</v>
      </c>
      <c r="E40">
        <v>7450000</v>
      </c>
      <c r="F40">
        <v>400</v>
      </c>
      <c r="G40" t="s">
        <v>34</v>
      </c>
      <c r="H40">
        <f>VLOOKUP(B40,Sheet5!$D$4:$F$20,3,0)</f>
        <v>3</v>
      </c>
      <c r="I40">
        <f>VLOOKUP(A40,Sheet3!$D$4:$G$34,4,0)</f>
        <v>9</v>
      </c>
    </row>
    <row r="41" spans="1:9">
      <c r="A41" s="94">
        <v>45032</v>
      </c>
      <c r="B41" t="s">
        <v>11</v>
      </c>
      <c r="C41">
        <v>13310</v>
      </c>
      <c r="D41" t="s">
        <v>12</v>
      </c>
      <c r="E41">
        <v>12000000</v>
      </c>
      <c r="F41">
        <v>400</v>
      </c>
      <c r="G41" t="s">
        <v>34</v>
      </c>
      <c r="H41">
        <f>VLOOKUP(B41,Sheet5!$D$4:$F$20,3,0)</f>
        <v>1</v>
      </c>
      <c r="I41">
        <f>VLOOKUP(A41,Sheet3!$D$4:$G$34,4,0)</f>
        <v>9</v>
      </c>
    </row>
    <row r="42" spans="1:9">
      <c r="A42" s="94">
        <v>45032</v>
      </c>
      <c r="B42" t="s">
        <v>11</v>
      </c>
      <c r="C42">
        <v>13311</v>
      </c>
      <c r="D42" t="s">
        <v>12</v>
      </c>
      <c r="E42">
        <v>12000000</v>
      </c>
      <c r="F42">
        <v>400</v>
      </c>
      <c r="G42" t="s">
        <v>34</v>
      </c>
      <c r="H42">
        <f>VLOOKUP(B42,Sheet5!$D$4:$F$20,3,0)</f>
        <v>1</v>
      </c>
      <c r="I42">
        <f>VLOOKUP(A42,Sheet3!$D$4:$G$34,4,0)</f>
        <v>9</v>
      </c>
    </row>
    <row r="43" spans="1:9">
      <c r="A43" s="94">
        <v>45032</v>
      </c>
      <c r="B43" t="s">
        <v>11</v>
      </c>
      <c r="C43">
        <v>13312</v>
      </c>
      <c r="D43" t="s">
        <v>12</v>
      </c>
      <c r="E43">
        <v>12000000</v>
      </c>
      <c r="F43">
        <v>400</v>
      </c>
      <c r="G43" t="s">
        <v>34</v>
      </c>
      <c r="H43">
        <f>VLOOKUP(B43,Sheet5!$D$4:$F$20,3,0)</f>
        <v>1</v>
      </c>
      <c r="I43">
        <f>VLOOKUP(A43,Sheet3!$D$4:$G$34,4,0)</f>
        <v>9</v>
      </c>
    </row>
    <row r="44" spans="1:9">
      <c r="A44" s="94">
        <v>45033</v>
      </c>
      <c r="B44" t="s">
        <v>11</v>
      </c>
      <c r="C44">
        <v>13313</v>
      </c>
      <c r="D44" t="s">
        <v>12</v>
      </c>
      <c r="E44">
        <v>12000000</v>
      </c>
      <c r="F44">
        <v>400</v>
      </c>
      <c r="G44" t="s">
        <v>35</v>
      </c>
      <c r="H44">
        <f>VLOOKUP(B44,Sheet5!$D$4:$F$20,3,0)</f>
        <v>1</v>
      </c>
      <c r="I44">
        <f>VLOOKUP(A44,Sheet3!$D$4:$G$34,4,0)</f>
        <v>10</v>
      </c>
    </row>
    <row r="45" spans="1:9">
      <c r="A45" s="94">
        <v>45033</v>
      </c>
      <c r="B45" t="s">
        <v>11</v>
      </c>
      <c r="C45">
        <v>13314</v>
      </c>
      <c r="D45" t="s">
        <v>12</v>
      </c>
      <c r="E45">
        <v>12000000</v>
      </c>
      <c r="F45">
        <v>400</v>
      </c>
      <c r="G45" t="s">
        <v>35</v>
      </c>
      <c r="H45">
        <f>VLOOKUP(B45,Sheet5!$D$4:$F$20,3,0)</f>
        <v>1</v>
      </c>
      <c r="I45">
        <f>VLOOKUP(A45,Sheet3!$D$4:$G$34,4,0)</f>
        <v>10</v>
      </c>
    </row>
    <row r="46" spans="1:9">
      <c r="A46" s="94">
        <v>45034</v>
      </c>
      <c r="B46" t="s">
        <v>11</v>
      </c>
      <c r="C46">
        <v>13315</v>
      </c>
      <c r="D46" t="s">
        <v>12</v>
      </c>
      <c r="E46">
        <v>12000000</v>
      </c>
      <c r="F46">
        <v>400</v>
      </c>
      <c r="G46" t="s">
        <v>36</v>
      </c>
      <c r="H46">
        <f>VLOOKUP(B46,Sheet5!$D$4:$F$20,3,0)</f>
        <v>1</v>
      </c>
      <c r="I46">
        <f>VLOOKUP(A46,Sheet3!$D$4:$G$34,4,0)</f>
        <v>11</v>
      </c>
    </row>
    <row r="47" spans="1:9">
      <c r="A47" s="94">
        <v>45034</v>
      </c>
      <c r="B47" t="s">
        <v>11</v>
      </c>
      <c r="C47">
        <v>13316</v>
      </c>
      <c r="D47" t="s">
        <v>12</v>
      </c>
      <c r="E47">
        <v>12000000</v>
      </c>
      <c r="F47">
        <v>400</v>
      </c>
      <c r="G47" t="s">
        <v>36</v>
      </c>
      <c r="H47">
        <f>VLOOKUP(B47,Sheet5!$D$4:$F$20,3,0)</f>
        <v>1</v>
      </c>
      <c r="I47">
        <f>VLOOKUP(A47,Sheet3!$D$4:$G$34,4,0)</f>
        <v>11</v>
      </c>
    </row>
    <row r="48" spans="1:9">
      <c r="A48" s="94">
        <v>45034</v>
      </c>
      <c r="B48" t="s">
        <v>13</v>
      </c>
      <c r="C48">
        <v>13317</v>
      </c>
      <c r="D48" t="s">
        <v>14</v>
      </c>
      <c r="E48">
        <v>7450000</v>
      </c>
      <c r="F48">
        <v>400</v>
      </c>
      <c r="G48" t="s">
        <v>36</v>
      </c>
      <c r="H48">
        <f>VLOOKUP(B48,Sheet5!$D$4:$F$20,3,0)</f>
        <v>3</v>
      </c>
      <c r="I48">
        <f>VLOOKUP(A48,Sheet3!$D$4:$G$34,4,0)</f>
        <v>11</v>
      </c>
    </row>
    <row r="49" spans="1:9">
      <c r="A49" s="94">
        <v>45034</v>
      </c>
      <c r="B49" t="s">
        <v>37</v>
      </c>
      <c r="C49">
        <v>13318</v>
      </c>
      <c r="D49" t="s">
        <v>25</v>
      </c>
      <c r="E49">
        <v>13500000</v>
      </c>
      <c r="F49">
        <v>400</v>
      </c>
      <c r="G49" t="s">
        <v>36</v>
      </c>
      <c r="H49">
        <f>VLOOKUP(B49,Sheet5!$D$4:$F$20,3,0)</f>
        <v>7</v>
      </c>
      <c r="I49">
        <f>VLOOKUP(A49,Sheet3!$D$4:$G$34,4,0)</f>
        <v>11</v>
      </c>
    </row>
    <row r="50" spans="1:9">
      <c r="A50" s="94">
        <v>45035</v>
      </c>
      <c r="B50" t="s">
        <v>39</v>
      </c>
      <c r="C50">
        <v>13319</v>
      </c>
      <c r="D50" t="s">
        <v>40</v>
      </c>
      <c r="E50">
        <v>13050000</v>
      </c>
      <c r="F50">
        <v>120</v>
      </c>
      <c r="G50" t="s">
        <v>38</v>
      </c>
      <c r="H50">
        <f>VLOOKUP(B50,Sheet5!$D$4:$F$20,3,0)</f>
        <v>6</v>
      </c>
      <c r="I50">
        <f>VLOOKUP(A50,Sheet3!$D$4:$G$34,4,0)</f>
        <v>12</v>
      </c>
    </row>
    <row r="51" spans="1:9">
      <c r="A51" s="94">
        <v>45035</v>
      </c>
      <c r="B51" t="s">
        <v>39</v>
      </c>
      <c r="C51">
        <v>13320</v>
      </c>
      <c r="D51" t="s">
        <v>40</v>
      </c>
      <c r="E51">
        <v>13050000</v>
      </c>
      <c r="F51">
        <v>120</v>
      </c>
      <c r="G51" t="s">
        <v>38</v>
      </c>
      <c r="H51">
        <f>VLOOKUP(B51,Sheet5!$D$4:$F$20,3,0)</f>
        <v>6</v>
      </c>
      <c r="I51">
        <f>VLOOKUP(A51,Sheet3!$D$4:$G$34,4,0)</f>
        <v>12</v>
      </c>
    </row>
    <row r="52" spans="1:9">
      <c r="A52" s="94">
        <v>45035</v>
      </c>
      <c r="B52" t="s">
        <v>39</v>
      </c>
      <c r="C52">
        <v>13321</v>
      </c>
      <c r="D52" t="s">
        <v>40</v>
      </c>
      <c r="E52">
        <v>13050000</v>
      </c>
      <c r="F52">
        <v>74</v>
      </c>
      <c r="G52" t="s">
        <v>38</v>
      </c>
      <c r="H52">
        <f>VLOOKUP(B52,Sheet5!$D$4:$F$20,3,0)</f>
        <v>6</v>
      </c>
      <c r="I52">
        <f>VLOOKUP(A52,Sheet3!$D$4:$G$34,4,0)</f>
        <v>12</v>
      </c>
    </row>
    <row r="53" spans="1:9">
      <c r="A53" s="94">
        <v>45035</v>
      </c>
      <c r="B53" t="s">
        <v>41</v>
      </c>
      <c r="C53">
        <v>13322</v>
      </c>
      <c r="D53" t="s">
        <v>40</v>
      </c>
      <c r="E53">
        <v>13050000</v>
      </c>
      <c r="F53">
        <v>46</v>
      </c>
      <c r="G53" t="s">
        <v>38</v>
      </c>
      <c r="H53">
        <f>VLOOKUP(B53,Sheet5!$D$4:$F$20,3,0)</f>
        <v>9</v>
      </c>
      <c r="I53">
        <f>VLOOKUP(A53,Sheet3!$D$4:$G$34,4,0)</f>
        <v>12</v>
      </c>
    </row>
    <row r="54" spans="1:9">
      <c r="A54" s="94">
        <v>45035</v>
      </c>
      <c r="B54" t="s">
        <v>41</v>
      </c>
      <c r="C54">
        <v>13323</v>
      </c>
      <c r="D54" t="s">
        <v>40</v>
      </c>
      <c r="E54">
        <v>13050000</v>
      </c>
      <c r="F54">
        <v>120</v>
      </c>
      <c r="G54" t="s">
        <v>38</v>
      </c>
      <c r="H54">
        <f>VLOOKUP(B54,Sheet5!$D$4:$F$20,3,0)</f>
        <v>9</v>
      </c>
      <c r="I54">
        <f>VLOOKUP(A54,Sheet3!$D$4:$G$34,4,0)</f>
        <v>12</v>
      </c>
    </row>
    <row r="55" spans="1:9">
      <c r="A55" s="94">
        <v>45035</v>
      </c>
      <c r="B55" t="s">
        <v>11</v>
      </c>
      <c r="C55">
        <v>13324</v>
      </c>
      <c r="D55" t="s">
        <v>12</v>
      </c>
      <c r="E55">
        <v>12000000</v>
      </c>
      <c r="F55">
        <v>400</v>
      </c>
      <c r="G55" t="s">
        <v>38</v>
      </c>
      <c r="H55">
        <f>VLOOKUP(B55,Sheet5!$D$4:$F$20,3,0)</f>
        <v>1</v>
      </c>
      <c r="I55">
        <f>VLOOKUP(A55,Sheet3!$D$4:$G$34,4,0)</f>
        <v>12</v>
      </c>
    </row>
    <row r="56" spans="1:9">
      <c r="A56" s="94">
        <v>45035</v>
      </c>
      <c r="B56" t="s">
        <v>11</v>
      </c>
      <c r="C56">
        <v>13325</v>
      </c>
      <c r="D56" t="s">
        <v>12</v>
      </c>
      <c r="E56">
        <v>12000000</v>
      </c>
      <c r="F56">
        <v>400</v>
      </c>
      <c r="G56" t="s">
        <v>38</v>
      </c>
      <c r="H56">
        <f>VLOOKUP(B56,Sheet5!$D$4:$F$20,3,0)</f>
        <v>1</v>
      </c>
      <c r="I56">
        <f>VLOOKUP(A56,Sheet3!$D$4:$G$34,4,0)</f>
        <v>12</v>
      </c>
    </row>
    <row r="57" spans="1:9">
      <c r="A57" s="94">
        <v>45036</v>
      </c>
      <c r="B57" t="s">
        <v>11</v>
      </c>
      <c r="C57">
        <v>13326</v>
      </c>
      <c r="D57" t="s">
        <v>12</v>
      </c>
      <c r="E57">
        <v>12000000</v>
      </c>
      <c r="F57">
        <v>400</v>
      </c>
      <c r="G57" t="s">
        <v>42</v>
      </c>
      <c r="H57">
        <f>VLOOKUP(B57,Sheet5!$D$4:$F$20,3,0)</f>
        <v>1</v>
      </c>
      <c r="I57">
        <f>VLOOKUP(A57,Sheet3!$D$4:$G$34,4,0)</f>
        <v>13</v>
      </c>
    </row>
    <row r="58" spans="1:9">
      <c r="A58" s="94">
        <v>45036</v>
      </c>
      <c r="B58" t="s">
        <v>11</v>
      </c>
      <c r="C58">
        <v>13327</v>
      </c>
      <c r="D58" t="s">
        <v>12</v>
      </c>
      <c r="E58">
        <v>12000000</v>
      </c>
      <c r="F58">
        <v>400</v>
      </c>
      <c r="G58" t="s">
        <v>42</v>
      </c>
      <c r="H58">
        <f>VLOOKUP(B58,Sheet5!$D$4:$F$20,3,0)</f>
        <v>1</v>
      </c>
      <c r="I58">
        <f>VLOOKUP(A58,Sheet3!$D$4:$G$34,4,0)</f>
        <v>13</v>
      </c>
    </row>
    <row r="59" spans="1:9">
      <c r="A59" s="94">
        <v>45037</v>
      </c>
      <c r="B59" t="s">
        <v>13</v>
      </c>
      <c r="C59">
        <v>13329</v>
      </c>
      <c r="D59" t="s">
        <v>14</v>
      </c>
      <c r="E59">
        <v>7450000</v>
      </c>
      <c r="F59">
        <v>400</v>
      </c>
      <c r="G59" t="s">
        <v>46</v>
      </c>
      <c r="H59">
        <f>VLOOKUP(B59,Sheet5!$D$4:$F$20,3,0)</f>
        <v>3</v>
      </c>
      <c r="I59">
        <f>VLOOKUP(A59,Sheet3!$D$4:$G$34,4,0)</f>
        <v>14</v>
      </c>
    </row>
    <row r="60" spans="1:9">
      <c r="A60" s="94">
        <v>45037</v>
      </c>
      <c r="B60" t="s">
        <v>28</v>
      </c>
      <c r="C60">
        <v>13330</v>
      </c>
      <c r="D60" t="s">
        <v>29</v>
      </c>
      <c r="E60">
        <v>11900000</v>
      </c>
      <c r="F60">
        <v>100</v>
      </c>
      <c r="G60" t="s">
        <v>46</v>
      </c>
      <c r="H60">
        <f>VLOOKUP(B60,Sheet5!$D$4:$F$20,3,0)</f>
        <v>4</v>
      </c>
      <c r="I60">
        <f>VLOOKUP(A60,Sheet3!$D$4:$G$34,4,0)</f>
        <v>14</v>
      </c>
    </row>
    <row r="61" spans="1:9">
      <c r="A61" s="94">
        <v>45040</v>
      </c>
      <c r="B61" t="s">
        <v>48</v>
      </c>
      <c r="C61">
        <v>13331</v>
      </c>
      <c r="D61" t="s">
        <v>49</v>
      </c>
      <c r="E61">
        <v>13000000</v>
      </c>
      <c r="F61">
        <v>100</v>
      </c>
      <c r="G61" t="s">
        <v>47</v>
      </c>
      <c r="H61">
        <f>VLOOKUP(B61,Sheet5!$D$4:$F$20,3,0)</f>
        <v>15</v>
      </c>
      <c r="I61">
        <f>VLOOKUP(A61,Sheet3!$D$4:$G$34,4,0)</f>
        <v>15</v>
      </c>
    </row>
    <row r="62" spans="1:9">
      <c r="A62" s="94">
        <v>45040</v>
      </c>
      <c r="B62" t="s">
        <v>11</v>
      </c>
      <c r="C62">
        <v>13332</v>
      </c>
      <c r="D62" t="s">
        <v>12</v>
      </c>
      <c r="E62">
        <v>12000000</v>
      </c>
      <c r="F62">
        <v>400</v>
      </c>
      <c r="G62" t="s">
        <v>47</v>
      </c>
      <c r="H62">
        <f>VLOOKUP(B62,Sheet5!$D$4:$F$20,3,0)</f>
        <v>1</v>
      </c>
      <c r="I62">
        <f>VLOOKUP(A62,Sheet3!$D$4:$G$34,4,0)</f>
        <v>15</v>
      </c>
    </row>
    <row r="63" spans="1:9">
      <c r="A63" s="94">
        <v>45040</v>
      </c>
      <c r="B63" t="s">
        <v>11</v>
      </c>
      <c r="C63">
        <v>13333</v>
      </c>
      <c r="D63" t="s">
        <v>12</v>
      </c>
      <c r="E63">
        <v>12000000</v>
      </c>
      <c r="F63">
        <v>400</v>
      </c>
      <c r="G63" t="s">
        <v>47</v>
      </c>
      <c r="H63">
        <f>VLOOKUP(B63,Sheet5!$D$4:$F$20,3,0)</f>
        <v>1</v>
      </c>
      <c r="I63">
        <f>VLOOKUP(A63,Sheet3!$D$4:$G$34,4,0)</f>
        <v>15</v>
      </c>
    </row>
    <row r="64" spans="1:9">
      <c r="A64" s="94">
        <v>45040</v>
      </c>
      <c r="B64" t="s">
        <v>13</v>
      </c>
      <c r="C64">
        <v>13334</v>
      </c>
      <c r="D64" t="s">
        <v>14</v>
      </c>
      <c r="E64">
        <v>7450000</v>
      </c>
      <c r="F64">
        <v>400</v>
      </c>
      <c r="G64" t="s">
        <v>47</v>
      </c>
      <c r="H64">
        <f>VLOOKUP(B64,Sheet5!$D$4:$F$20,3,0)</f>
        <v>3</v>
      </c>
      <c r="I64">
        <f>VLOOKUP(A64,Sheet3!$D$4:$G$34,4,0)</f>
        <v>15</v>
      </c>
    </row>
    <row r="65" spans="1:9">
      <c r="A65" s="94">
        <v>45040</v>
      </c>
      <c r="B65" t="s">
        <v>50</v>
      </c>
      <c r="C65">
        <v>13335</v>
      </c>
      <c r="D65" t="s">
        <v>51</v>
      </c>
      <c r="E65">
        <v>12500000</v>
      </c>
      <c r="F65">
        <v>400</v>
      </c>
      <c r="G65" t="s">
        <v>47</v>
      </c>
      <c r="H65">
        <f>VLOOKUP(B65,Sheet5!$D$4:$F$20,3,0)</f>
        <v>5</v>
      </c>
      <c r="I65">
        <f>VLOOKUP(A65,Sheet3!$D$4:$G$34,4,0)</f>
        <v>15</v>
      </c>
    </row>
    <row r="66" spans="1:9">
      <c r="A66" s="94">
        <v>45040</v>
      </c>
      <c r="B66" t="s">
        <v>50</v>
      </c>
      <c r="C66">
        <v>13336</v>
      </c>
      <c r="D66" t="s">
        <v>51</v>
      </c>
      <c r="E66">
        <v>12500000</v>
      </c>
      <c r="F66">
        <v>400</v>
      </c>
      <c r="G66" t="s">
        <v>47</v>
      </c>
      <c r="H66">
        <f>VLOOKUP(B66,Sheet5!$D$4:$F$20,3,0)</f>
        <v>5</v>
      </c>
      <c r="I66">
        <f>VLOOKUP(A66,Sheet3!$D$4:$G$34,4,0)</f>
        <v>15</v>
      </c>
    </row>
    <row r="67" spans="1:9">
      <c r="A67" s="94">
        <v>45041</v>
      </c>
      <c r="B67" t="s">
        <v>11</v>
      </c>
      <c r="C67">
        <v>13337</v>
      </c>
      <c r="D67" t="s">
        <v>53</v>
      </c>
      <c r="E67">
        <v>13000000</v>
      </c>
      <c r="F67">
        <v>400</v>
      </c>
      <c r="G67" t="s">
        <v>52</v>
      </c>
      <c r="H67">
        <f>VLOOKUP(B67,Sheet5!$D$4:$F$20,3,0)</f>
        <v>1</v>
      </c>
      <c r="I67">
        <f>VLOOKUP(A67,Sheet3!$D$4:$G$34,4,0)</f>
        <v>16</v>
      </c>
    </row>
    <row r="68" spans="1:9">
      <c r="A68" s="94">
        <v>45041</v>
      </c>
      <c r="B68" t="s">
        <v>11</v>
      </c>
      <c r="C68">
        <v>13341</v>
      </c>
      <c r="D68" t="s">
        <v>12</v>
      </c>
      <c r="E68">
        <v>12000000</v>
      </c>
      <c r="F68">
        <v>400</v>
      </c>
      <c r="G68" t="s">
        <v>52</v>
      </c>
      <c r="H68">
        <f>VLOOKUP(B68,Sheet5!$D$4:$F$20,3,0)</f>
        <v>1</v>
      </c>
      <c r="I68">
        <f>VLOOKUP(A68,Sheet3!$D$4:$G$34,4,0)</f>
        <v>16</v>
      </c>
    </row>
    <row r="69" spans="1:9">
      <c r="A69" s="94">
        <v>45041</v>
      </c>
      <c r="B69" t="s">
        <v>11</v>
      </c>
      <c r="C69">
        <v>13342</v>
      </c>
      <c r="D69" t="s">
        <v>12</v>
      </c>
      <c r="E69">
        <v>12000000</v>
      </c>
      <c r="F69">
        <v>400</v>
      </c>
      <c r="G69" t="s">
        <v>52</v>
      </c>
      <c r="H69">
        <f>VLOOKUP(B69,Sheet5!$D$4:$F$20,3,0)</f>
        <v>1</v>
      </c>
      <c r="I69">
        <f>VLOOKUP(A69,Sheet3!$D$4:$G$34,4,0)</f>
        <v>16</v>
      </c>
    </row>
    <row r="70" spans="1:9">
      <c r="A70" s="94">
        <v>45041</v>
      </c>
      <c r="B70" t="s">
        <v>54</v>
      </c>
      <c r="C70">
        <v>13343</v>
      </c>
      <c r="D70" t="s">
        <v>51</v>
      </c>
      <c r="E70">
        <v>13000000</v>
      </c>
      <c r="F70">
        <v>10</v>
      </c>
      <c r="G70" t="s">
        <v>52</v>
      </c>
      <c r="H70">
        <f>VLOOKUP(B70,Sheet5!$D$4:$F$20,3,0)</f>
        <v>13</v>
      </c>
      <c r="I70">
        <f>VLOOKUP(A70,Sheet3!$D$4:$G$34,4,0)</f>
        <v>16</v>
      </c>
    </row>
    <row r="71" spans="1:9">
      <c r="A71" s="94">
        <v>45042</v>
      </c>
      <c r="B71" t="s">
        <v>13</v>
      </c>
      <c r="C71">
        <v>13340</v>
      </c>
      <c r="D71" t="s">
        <v>25</v>
      </c>
      <c r="E71">
        <v>7450000</v>
      </c>
      <c r="F71">
        <v>400</v>
      </c>
      <c r="G71" t="s">
        <v>55</v>
      </c>
      <c r="H71">
        <f>VLOOKUP(B71,Sheet5!$D$4:$F$20,3,0)</f>
        <v>3</v>
      </c>
      <c r="I71">
        <f>VLOOKUP(A71,Sheet3!$D$4:$G$34,4,0)</f>
        <v>17</v>
      </c>
    </row>
    <row r="72" spans="1:9">
      <c r="A72" s="94">
        <v>45042</v>
      </c>
      <c r="B72" t="s">
        <v>9</v>
      </c>
      <c r="C72">
        <v>13344</v>
      </c>
      <c r="D72" t="s">
        <v>17</v>
      </c>
      <c r="E72">
        <v>11700000</v>
      </c>
      <c r="F72">
        <v>400</v>
      </c>
      <c r="G72" t="s">
        <v>55</v>
      </c>
      <c r="H72">
        <f>VLOOKUP(B72,Sheet5!$D$4:$F$20,3,0)</f>
        <v>2</v>
      </c>
      <c r="I72">
        <f>VLOOKUP(A72,Sheet3!$D$4:$G$34,4,0)</f>
        <v>17</v>
      </c>
    </row>
    <row r="73" spans="1:9">
      <c r="A73" s="94">
        <v>45042</v>
      </c>
      <c r="B73" t="s">
        <v>11</v>
      </c>
      <c r="C73">
        <v>13345</v>
      </c>
      <c r="D73" t="s">
        <v>12</v>
      </c>
      <c r="E73">
        <v>12000000</v>
      </c>
      <c r="F73">
        <v>397</v>
      </c>
      <c r="G73" t="s">
        <v>55</v>
      </c>
      <c r="H73">
        <f>VLOOKUP(B73,Sheet5!$D$4:$F$20,3,0)</f>
        <v>1</v>
      </c>
      <c r="I73">
        <f>VLOOKUP(A73,Sheet3!$D$4:$G$34,4,0)</f>
        <v>17</v>
      </c>
    </row>
    <row r="74" spans="1:9">
      <c r="A74" s="94">
        <v>45042</v>
      </c>
      <c r="B74" t="s">
        <v>9</v>
      </c>
      <c r="C74">
        <v>13346</v>
      </c>
      <c r="D74" t="s">
        <v>17</v>
      </c>
      <c r="E74">
        <v>11700000</v>
      </c>
      <c r="F74">
        <v>400</v>
      </c>
      <c r="G74" t="s">
        <v>55</v>
      </c>
      <c r="H74">
        <f>VLOOKUP(B74,Sheet5!$D$4:$F$20,3,0)</f>
        <v>2</v>
      </c>
      <c r="I74">
        <f>VLOOKUP(A74,Sheet3!$D$4:$G$34,4,0)</f>
        <v>17</v>
      </c>
    </row>
    <row r="75" spans="1:9">
      <c r="A75" s="94">
        <v>45043</v>
      </c>
      <c r="B75" t="s">
        <v>9</v>
      </c>
      <c r="C75">
        <v>13348</v>
      </c>
      <c r="D75" t="s">
        <v>10</v>
      </c>
      <c r="E75">
        <v>9960000</v>
      </c>
      <c r="F75">
        <v>399</v>
      </c>
      <c r="G75" t="s">
        <v>56</v>
      </c>
      <c r="H75">
        <f>VLOOKUP(B75,Sheet5!$D$4:$F$20,3,0)</f>
        <v>2</v>
      </c>
      <c r="I75">
        <f>VLOOKUP(A75,Sheet3!$D$4:$G$34,4,0)</f>
        <v>18</v>
      </c>
    </row>
    <row r="76" spans="1:9">
      <c r="A76" s="94">
        <v>45043</v>
      </c>
      <c r="B76" t="s">
        <v>13</v>
      </c>
      <c r="C76">
        <v>13350</v>
      </c>
      <c r="D76" t="s">
        <v>14</v>
      </c>
      <c r="E76">
        <v>7450000</v>
      </c>
      <c r="F76">
        <v>400</v>
      </c>
      <c r="G76" t="s">
        <v>56</v>
      </c>
      <c r="H76">
        <f>VLOOKUP(B76,Sheet5!$D$4:$F$20,3,0)</f>
        <v>3</v>
      </c>
      <c r="I76">
        <f>VLOOKUP(A76,Sheet3!$D$4:$G$34,4,0)</f>
        <v>18</v>
      </c>
    </row>
    <row r="77" spans="1:9">
      <c r="A77" s="94">
        <v>45043</v>
      </c>
      <c r="B77" t="s">
        <v>13</v>
      </c>
      <c r="C77">
        <v>13351</v>
      </c>
      <c r="D77" t="s">
        <v>14</v>
      </c>
      <c r="E77">
        <v>7450000</v>
      </c>
      <c r="F77">
        <v>400</v>
      </c>
      <c r="G77" t="s">
        <v>56</v>
      </c>
      <c r="H77">
        <f>VLOOKUP(B77,Sheet5!$D$4:$F$20,3,0)</f>
        <v>3</v>
      </c>
      <c r="I77">
        <f>VLOOKUP(A77,Sheet3!$D$4:$G$34,4,0)</f>
        <v>18</v>
      </c>
    </row>
    <row r="78" spans="1:9">
      <c r="A78" s="94">
        <v>45043</v>
      </c>
      <c r="B78" t="s">
        <v>28</v>
      </c>
      <c r="C78">
        <v>13354</v>
      </c>
      <c r="D78" t="s">
        <v>10</v>
      </c>
      <c r="E78">
        <v>11900000</v>
      </c>
      <c r="F78">
        <v>120</v>
      </c>
      <c r="G78" t="s">
        <v>56</v>
      </c>
      <c r="H78">
        <f>VLOOKUP(B78,Sheet5!$D$4:$F$20,3,0)</f>
        <v>4</v>
      </c>
      <c r="I78">
        <f>VLOOKUP(A78,Sheet3!$D$4:$G$34,4,0)</f>
        <v>18</v>
      </c>
    </row>
    <row r="79" spans="1:9">
      <c r="A79" s="94">
        <v>45043</v>
      </c>
      <c r="B79" t="s">
        <v>28</v>
      </c>
      <c r="C79">
        <v>13355</v>
      </c>
      <c r="D79" t="s">
        <v>10</v>
      </c>
      <c r="E79">
        <v>11900000</v>
      </c>
      <c r="F79">
        <v>47</v>
      </c>
      <c r="G79" t="s">
        <v>56</v>
      </c>
      <c r="H79">
        <f>VLOOKUP(B79,Sheet5!$D$4:$F$20,3,0)</f>
        <v>4</v>
      </c>
      <c r="I79">
        <f>VLOOKUP(A79,Sheet3!$D$4:$G$34,4,0)</f>
        <v>18</v>
      </c>
    </row>
    <row r="80" spans="1:9">
      <c r="A80" s="94">
        <v>45044</v>
      </c>
      <c r="B80" t="s">
        <v>37</v>
      </c>
      <c r="C80">
        <v>13339</v>
      </c>
      <c r="D80" t="s">
        <v>25</v>
      </c>
      <c r="E80">
        <v>13500000</v>
      </c>
      <c r="F80">
        <v>400</v>
      </c>
      <c r="G80" t="s">
        <v>57</v>
      </c>
      <c r="H80">
        <f>VLOOKUP(B80,Sheet5!$D$4:$F$20,3,0)</f>
        <v>7</v>
      </c>
      <c r="I80">
        <f>VLOOKUP(A80,Sheet3!$D$4:$G$34,4,0)</f>
        <v>19</v>
      </c>
    </row>
    <row r="81" spans="1:9">
      <c r="A81" s="94">
        <v>45044</v>
      </c>
      <c r="B81" t="s">
        <v>9</v>
      </c>
      <c r="C81">
        <v>13349</v>
      </c>
      <c r="D81" t="s">
        <v>10</v>
      </c>
      <c r="E81">
        <v>9960000</v>
      </c>
      <c r="F81">
        <v>400</v>
      </c>
      <c r="G81" t="s">
        <v>57</v>
      </c>
      <c r="H81">
        <f>VLOOKUP(B81,Sheet5!$D$4:$F$20,3,0)</f>
        <v>2</v>
      </c>
      <c r="I81">
        <f>VLOOKUP(A81,Sheet3!$D$4:$G$34,4,0)</f>
        <v>19</v>
      </c>
    </row>
    <row r="82" spans="1:9">
      <c r="A82" s="94">
        <v>45044</v>
      </c>
      <c r="B82" t="s">
        <v>11</v>
      </c>
      <c r="C82">
        <v>13356</v>
      </c>
      <c r="D82" t="s">
        <v>12</v>
      </c>
      <c r="E82">
        <v>12000000</v>
      </c>
      <c r="F82">
        <v>400</v>
      </c>
      <c r="G82" t="s">
        <v>57</v>
      </c>
      <c r="H82">
        <f>VLOOKUP(B82,Sheet5!$D$4:$F$20,3,0)</f>
        <v>1</v>
      </c>
      <c r="I82">
        <f>VLOOKUP(A82,Sheet3!$D$4:$G$34,4,0)</f>
        <v>19</v>
      </c>
    </row>
    <row r="83" spans="1:9">
      <c r="A83" s="94">
        <v>45044</v>
      </c>
      <c r="B83" t="s">
        <v>11</v>
      </c>
      <c r="C83">
        <v>13357</v>
      </c>
      <c r="D83" t="s">
        <v>12</v>
      </c>
      <c r="E83">
        <v>12000000</v>
      </c>
      <c r="F83">
        <v>400</v>
      </c>
      <c r="G83" t="s">
        <v>57</v>
      </c>
      <c r="H83">
        <f>VLOOKUP(B83,Sheet5!$D$4:$F$20,3,0)</f>
        <v>1</v>
      </c>
      <c r="I83">
        <f>VLOOKUP(A83,Sheet3!$D$4:$G$34,4,0)</f>
        <v>19</v>
      </c>
    </row>
    <row r="84" spans="1:9">
      <c r="A84" s="94">
        <v>45044</v>
      </c>
      <c r="B84" t="s">
        <v>11</v>
      </c>
      <c r="C84">
        <v>13358</v>
      </c>
      <c r="D84" t="s">
        <v>12</v>
      </c>
      <c r="E84">
        <v>12000000</v>
      </c>
      <c r="F84">
        <v>400</v>
      </c>
      <c r="G84" t="s">
        <v>57</v>
      </c>
      <c r="H84">
        <f>VLOOKUP(B84,Sheet5!$D$4:$F$20,3,0)</f>
        <v>1</v>
      </c>
      <c r="I84">
        <f>VLOOKUP(A84,Sheet3!$D$4:$G$34,4,0)</f>
        <v>19</v>
      </c>
    </row>
    <row r="85" spans="1:9">
      <c r="A85" s="94">
        <v>45045</v>
      </c>
      <c r="B85" t="s">
        <v>9</v>
      </c>
      <c r="C85">
        <v>13359</v>
      </c>
      <c r="D85" t="s">
        <v>17</v>
      </c>
      <c r="E85">
        <v>11700000</v>
      </c>
      <c r="F85">
        <v>400</v>
      </c>
      <c r="G85" t="s">
        <v>58</v>
      </c>
      <c r="H85">
        <f>VLOOKUP(B85,Sheet5!$D$4:$F$20,3,0)</f>
        <v>2</v>
      </c>
      <c r="I85">
        <f>VLOOKUP(A85,Sheet3!$D$4:$G$34,4,0)</f>
        <v>20</v>
      </c>
    </row>
    <row r="86" spans="1:9">
      <c r="A86" s="94">
        <v>45045</v>
      </c>
      <c r="B86" t="s">
        <v>11</v>
      </c>
      <c r="C86">
        <v>13361</v>
      </c>
      <c r="D86" t="s">
        <v>12</v>
      </c>
      <c r="E86">
        <v>12000000</v>
      </c>
      <c r="F86">
        <v>400</v>
      </c>
      <c r="G86" t="s">
        <v>58</v>
      </c>
      <c r="H86">
        <f>VLOOKUP(B86,Sheet5!$D$4:$F$20,3,0)</f>
        <v>1</v>
      </c>
      <c r="I86">
        <f>VLOOKUP(A86,Sheet3!$D$4:$G$34,4,0)</f>
        <v>20</v>
      </c>
    </row>
    <row r="87" spans="1:9">
      <c r="A87" s="94">
        <v>45045</v>
      </c>
      <c r="B87" t="s">
        <v>11</v>
      </c>
      <c r="C87">
        <v>13362</v>
      </c>
      <c r="D87" t="s">
        <v>12</v>
      </c>
      <c r="E87">
        <v>12000000</v>
      </c>
      <c r="F87">
        <v>400</v>
      </c>
      <c r="G87" t="s">
        <v>58</v>
      </c>
      <c r="H87">
        <f>VLOOKUP(B87,Sheet5!$D$4:$F$20,3,0)</f>
        <v>1</v>
      </c>
      <c r="I87">
        <f>VLOOKUP(A87,Sheet3!$D$4:$G$34,4,0)</f>
        <v>20</v>
      </c>
    </row>
    <row r="88" spans="1:9">
      <c r="A88" s="94">
        <v>45045</v>
      </c>
      <c r="B88" t="s">
        <v>59</v>
      </c>
      <c r="C88">
        <v>13363</v>
      </c>
      <c r="D88" t="s">
        <v>25</v>
      </c>
      <c r="E88">
        <v>13000000</v>
      </c>
      <c r="F88">
        <v>120</v>
      </c>
      <c r="G88" t="s">
        <v>58</v>
      </c>
      <c r="H88">
        <f>VLOOKUP(B88,Sheet5!$D$4:$F$20,3,0)</f>
        <v>14</v>
      </c>
      <c r="I88">
        <f>VLOOKUP(A88,Sheet3!$D$4:$G$34,4,0)</f>
        <v>20</v>
      </c>
    </row>
    <row r="89" spans="1:9">
      <c r="A89" s="94">
        <v>45046</v>
      </c>
      <c r="B89" t="s">
        <v>9</v>
      </c>
      <c r="C89">
        <v>13360</v>
      </c>
      <c r="D89" t="s">
        <v>17</v>
      </c>
      <c r="E89">
        <v>11700000</v>
      </c>
      <c r="F89">
        <v>400</v>
      </c>
      <c r="G89" t="s">
        <v>60</v>
      </c>
      <c r="H89">
        <f>VLOOKUP(B89,Sheet5!$D$4:$F$20,3,0)</f>
        <v>2</v>
      </c>
      <c r="I89">
        <f>VLOOKUP(A89,Sheet3!$D$4:$G$34,4,0)</f>
        <v>21</v>
      </c>
    </row>
    <row r="90" spans="1:9">
      <c r="A90" s="94">
        <v>45046</v>
      </c>
      <c r="B90" t="s">
        <v>11</v>
      </c>
      <c r="C90">
        <v>13366</v>
      </c>
      <c r="D90" t="s">
        <v>12</v>
      </c>
      <c r="E90">
        <v>12000000</v>
      </c>
      <c r="F90">
        <v>400</v>
      </c>
      <c r="G90" t="s">
        <v>60</v>
      </c>
      <c r="H90">
        <f>VLOOKUP(B90,Sheet5!$D$4:$F$20,3,0)</f>
        <v>1</v>
      </c>
      <c r="I90">
        <f>VLOOKUP(A90,Sheet3!$D$4:$G$34,4,0)</f>
        <v>21</v>
      </c>
    </row>
    <row r="91" spans="1:9">
      <c r="A91" s="94">
        <v>45046</v>
      </c>
      <c r="B91" t="s">
        <v>50</v>
      </c>
      <c r="C91">
        <v>13368</v>
      </c>
      <c r="D91" t="s">
        <v>51</v>
      </c>
      <c r="E91">
        <v>12500000</v>
      </c>
      <c r="F91">
        <v>400</v>
      </c>
      <c r="G91" t="s">
        <v>60</v>
      </c>
      <c r="H91">
        <f>VLOOKUP(B91,Sheet5!$D$4:$F$20,3,0)</f>
        <v>5</v>
      </c>
      <c r="I91">
        <f>VLOOKUP(A91,Sheet3!$D$4:$G$34,4,0)</f>
        <v>21</v>
      </c>
    </row>
    <row r="92" spans="1:9">
      <c r="A92" s="94">
        <v>45046</v>
      </c>
      <c r="B92" t="s">
        <v>50</v>
      </c>
      <c r="C92">
        <v>13369</v>
      </c>
      <c r="D92" t="s">
        <v>51</v>
      </c>
      <c r="E92">
        <v>12500000</v>
      </c>
      <c r="F92">
        <v>400</v>
      </c>
      <c r="G92" t="s">
        <v>60</v>
      </c>
      <c r="H92">
        <f>VLOOKUP(B92,Sheet5!$D$4:$F$20,3,0)</f>
        <v>5</v>
      </c>
      <c r="I92">
        <f>VLOOKUP(A92,Sheet3!$D$4:$G$34,4,0)</f>
        <v>21</v>
      </c>
    </row>
    <row r="93" spans="1:9">
      <c r="A93" s="94">
        <v>45046</v>
      </c>
      <c r="B93" t="s">
        <v>9</v>
      </c>
      <c r="C93">
        <v>13370</v>
      </c>
      <c r="D93" t="s">
        <v>10</v>
      </c>
      <c r="E93">
        <v>9960000</v>
      </c>
      <c r="F93">
        <v>398</v>
      </c>
      <c r="G93" t="s">
        <v>60</v>
      </c>
      <c r="H93">
        <f>VLOOKUP(B93,Sheet5!$D$4:$F$20,3,0)</f>
        <v>2</v>
      </c>
      <c r="I93">
        <f>VLOOKUP(A93,Sheet3!$D$4:$G$34,4,0)</f>
        <v>21</v>
      </c>
    </row>
    <row r="94" spans="1:9">
      <c r="A94" s="94">
        <v>45047</v>
      </c>
      <c r="B94" t="s">
        <v>9</v>
      </c>
      <c r="C94">
        <v>13365</v>
      </c>
      <c r="D94" t="s">
        <v>17</v>
      </c>
      <c r="E94">
        <v>11700000</v>
      </c>
      <c r="F94">
        <v>400</v>
      </c>
      <c r="G94" t="s">
        <v>61</v>
      </c>
      <c r="H94">
        <f>VLOOKUP(B94,Sheet5!$D$4:$F$20,3,0)</f>
        <v>2</v>
      </c>
      <c r="I94">
        <f>VLOOKUP(A94,Sheet3!$D$4:$G$34,4,0)</f>
        <v>27</v>
      </c>
    </row>
    <row r="95" spans="1:9">
      <c r="A95" s="94">
        <v>45047</v>
      </c>
      <c r="B95" t="s">
        <v>11</v>
      </c>
      <c r="C95">
        <v>13367</v>
      </c>
      <c r="D95" t="s">
        <v>12</v>
      </c>
      <c r="E95">
        <v>12000000</v>
      </c>
      <c r="F95">
        <v>400</v>
      </c>
      <c r="G95" t="s">
        <v>61</v>
      </c>
      <c r="H95">
        <f>VLOOKUP(B95,Sheet5!$D$4:$F$20,3,0)</f>
        <v>1</v>
      </c>
      <c r="I95">
        <f>VLOOKUP(A95,Sheet3!$D$4:$G$34,4,0)</f>
        <v>27</v>
      </c>
    </row>
    <row r="96" spans="1:9">
      <c r="A96" s="94">
        <v>45047</v>
      </c>
      <c r="B96" t="s">
        <v>11</v>
      </c>
      <c r="C96">
        <v>13372</v>
      </c>
      <c r="D96" t="s">
        <v>12</v>
      </c>
      <c r="E96">
        <v>12000000</v>
      </c>
      <c r="F96">
        <v>400</v>
      </c>
      <c r="G96" t="s">
        <v>61</v>
      </c>
      <c r="H96">
        <f>VLOOKUP(B96,Sheet5!$D$4:$F$20,3,0)</f>
        <v>1</v>
      </c>
      <c r="I96">
        <f>VLOOKUP(A96,Sheet3!$D$4:$G$34,4,0)</f>
        <v>27</v>
      </c>
    </row>
    <row r="97" spans="1:9">
      <c r="A97" s="94">
        <v>45047</v>
      </c>
      <c r="B97" t="s">
        <v>11</v>
      </c>
      <c r="C97">
        <v>13373</v>
      </c>
      <c r="D97" t="s">
        <v>12</v>
      </c>
      <c r="E97">
        <v>12000000</v>
      </c>
      <c r="F97">
        <v>400</v>
      </c>
      <c r="G97" t="s">
        <v>61</v>
      </c>
      <c r="H97">
        <f>VLOOKUP(B97,Sheet5!$D$4:$F$20,3,0)</f>
        <v>1</v>
      </c>
      <c r="I97">
        <f>VLOOKUP(A97,Sheet3!$D$4:$G$34,4,0)</f>
        <v>27</v>
      </c>
    </row>
    <row r="98" spans="1:9">
      <c r="A98" s="94">
        <v>45047</v>
      </c>
      <c r="B98" t="s">
        <v>13</v>
      </c>
      <c r="C98">
        <v>13374</v>
      </c>
      <c r="D98" t="s">
        <v>14</v>
      </c>
      <c r="E98">
        <v>7450000</v>
      </c>
      <c r="F98">
        <v>400</v>
      </c>
      <c r="G98" t="s">
        <v>61</v>
      </c>
      <c r="H98">
        <f>VLOOKUP(B98,Sheet5!$D$4:$F$20,3,0)</f>
        <v>3</v>
      </c>
      <c r="I98">
        <f>VLOOKUP(A98,Sheet3!$D$4:$G$34,4,0)</f>
        <v>27</v>
      </c>
    </row>
    <row r="99" spans="1:9">
      <c r="A99" s="94">
        <v>45048</v>
      </c>
      <c r="B99" t="s">
        <v>63</v>
      </c>
      <c r="C99">
        <v>13375</v>
      </c>
      <c r="D99" t="s">
        <v>40</v>
      </c>
      <c r="E99">
        <v>12000000</v>
      </c>
      <c r="F99">
        <v>22</v>
      </c>
      <c r="G99" t="s">
        <v>62</v>
      </c>
      <c r="H99">
        <f>VLOOKUP(B99,Sheet5!$D$4:$F$20,3,0)</f>
        <v>16</v>
      </c>
      <c r="I99">
        <f>VLOOKUP(A99,Sheet3!$D$4:$G$34,4,0)</f>
        <v>28</v>
      </c>
    </row>
    <row r="100" spans="1:9">
      <c r="A100" s="94">
        <v>45048</v>
      </c>
      <c r="B100" t="s">
        <v>64</v>
      </c>
      <c r="C100">
        <v>13376</v>
      </c>
      <c r="D100" t="s">
        <v>10</v>
      </c>
      <c r="E100">
        <v>11200000</v>
      </c>
      <c r="F100">
        <v>15</v>
      </c>
      <c r="G100" t="s">
        <v>62</v>
      </c>
      <c r="H100">
        <f>VLOOKUP(B100,Sheet5!$D$4:$F$20,3,0)</f>
        <v>10</v>
      </c>
      <c r="I100">
        <f>VLOOKUP(A100,Sheet3!$D$4:$G$34,4,0)</f>
        <v>28</v>
      </c>
    </row>
    <row r="101" spans="1:9">
      <c r="A101" s="94">
        <v>45048</v>
      </c>
      <c r="B101" t="s">
        <v>11</v>
      </c>
      <c r="C101">
        <v>13377</v>
      </c>
      <c r="D101" t="s">
        <v>12</v>
      </c>
      <c r="E101">
        <v>12000000</v>
      </c>
      <c r="F101">
        <v>400</v>
      </c>
      <c r="G101" t="s">
        <v>62</v>
      </c>
      <c r="H101">
        <f>VLOOKUP(B101,Sheet5!$D$4:$F$20,3,0)</f>
        <v>1</v>
      </c>
      <c r="I101">
        <f>VLOOKUP(A101,Sheet3!$D$4:$G$34,4,0)</f>
        <v>28</v>
      </c>
    </row>
    <row r="102" spans="1:9">
      <c r="A102" s="94">
        <v>45048</v>
      </c>
      <c r="B102" t="s">
        <v>9</v>
      </c>
      <c r="C102">
        <v>13379</v>
      </c>
      <c r="D102" t="s">
        <v>10</v>
      </c>
      <c r="E102">
        <v>9960000</v>
      </c>
      <c r="F102">
        <v>400</v>
      </c>
      <c r="G102" t="s">
        <v>62</v>
      </c>
      <c r="H102">
        <f>VLOOKUP(B102,Sheet5!$D$4:$F$20,3,0)</f>
        <v>2</v>
      </c>
      <c r="I102">
        <f>VLOOKUP(A102,Sheet3!$D$4:$G$34,4,0)</f>
        <v>28</v>
      </c>
    </row>
    <row r="103" spans="1:9">
      <c r="A103" s="94">
        <v>45048</v>
      </c>
      <c r="B103" t="s">
        <v>13</v>
      </c>
      <c r="C103">
        <v>13381</v>
      </c>
      <c r="D103" t="s">
        <v>14</v>
      </c>
      <c r="E103">
        <v>7450000</v>
      </c>
      <c r="F103">
        <v>400</v>
      </c>
      <c r="G103" t="s">
        <v>62</v>
      </c>
      <c r="H103">
        <f>VLOOKUP(B103,Sheet5!$D$4:$F$20,3,0)</f>
        <v>3</v>
      </c>
      <c r="I103">
        <f>VLOOKUP(A103,Sheet3!$D$4:$G$34,4,0)</f>
        <v>28</v>
      </c>
    </row>
    <row r="104" spans="1:9">
      <c r="A104" s="94">
        <v>45048</v>
      </c>
      <c r="B104" t="s">
        <v>64</v>
      </c>
      <c r="C104">
        <v>13382</v>
      </c>
      <c r="D104" t="s">
        <v>10</v>
      </c>
      <c r="E104">
        <v>11200000</v>
      </c>
      <c r="F104">
        <v>15</v>
      </c>
      <c r="G104" t="s">
        <v>62</v>
      </c>
      <c r="H104">
        <f>VLOOKUP(B104,Sheet5!$D$4:$F$20,3,0)</f>
        <v>10</v>
      </c>
      <c r="I104">
        <f>VLOOKUP(A104,Sheet3!$D$4:$G$34,4,0)</f>
        <v>28</v>
      </c>
    </row>
    <row r="105" spans="1:9">
      <c r="A105" s="94">
        <v>45048</v>
      </c>
      <c r="B105" t="s">
        <v>28</v>
      </c>
      <c r="C105">
        <v>13383</v>
      </c>
      <c r="D105" t="s">
        <v>10</v>
      </c>
      <c r="E105">
        <v>11900000</v>
      </c>
      <c r="F105">
        <v>120</v>
      </c>
      <c r="G105" t="s">
        <v>62</v>
      </c>
      <c r="H105">
        <f>VLOOKUP(B105,Sheet5!$D$4:$F$20,3,0)</f>
        <v>4</v>
      </c>
      <c r="I105">
        <f>VLOOKUP(A105,Sheet3!$D$4:$G$34,4,0)</f>
        <v>28</v>
      </c>
    </row>
    <row r="106" spans="1:9">
      <c r="A106" s="94">
        <v>45048</v>
      </c>
      <c r="B106" t="s">
        <v>65</v>
      </c>
      <c r="C106">
        <v>13385</v>
      </c>
      <c r="D106" t="s">
        <v>49</v>
      </c>
      <c r="E106">
        <v>13000000</v>
      </c>
      <c r="F106">
        <v>7</v>
      </c>
      <c r="G106" t="s">
        <v>62</v>
      </c>
      <c r="H106">
        <f>VLOOKUP(B106,Sheet5!$D$4:$F$20,3,0)</f>
        <v>12</v>
      </c>
      <c r="I106">
        <f>VLOOKUP(A106,Sheet3!$D$4:$G$34,4,0)</f>
        <v>28</v>
      </c>
    </row>
    <row r="107" spans="1:9">
      <c r="A107" s="94">
        <v>45048</v>
      </c>
      <c r="B107" t="s">
        <v>28</v>
      </c>
      <c r="C107">
        <v>13386</v>
      </c>
      <c r="D107" t="s">
        <v>10</v>
      </c>
      <c r="E107">
        <v>11900000</v>
      </c>
      <c r="F107">
        <v>49</v>
      </c>
      <c r="G107" t="s">
        <v>62</v>
      </c>
      <c r="H107">
        <f>VLOOKUP(B107,Sheet5!$D$4:$F$20,3,0)</f>
        <v>4</v>
      </c>
      <c r="I107">
        <f>VLOOKUP(A107,Sheet3!$D$4:$G$34,4,0)</f>
        <v>28</v>
      </c>
    </row>
    <row r="108" spans="1:9">
      <c r="A108" s="94">
        <v>45049</v>
      </c>
      <c r="B108" t="s">
        <v>13</v>
      </c>
      <c r="C108">
        <v>13380</v>
      </c>
      <c r="D108" t="s">
        <v>14</v>
      </c>
      <c r="E108">
        <v>7450000</v>
      </c>
      <c r="F108">
        <v>400</v>
      </c>
      <c r="G108" t="s">
        <v>66</v>
      </c>
      <c r="H108">
        <f>VLOOKUP(B108,Sheet5!$D$4:$F$20,3,0)</f>
        <v>3</v>
      </c>
      <c r="I108">
        <f>VLOOKUP(A108,Sheet3!$D$4:$G$34,4,0)</f>
        <v>29</v>
      </c>
    </row>
    <row r="109" spans="1:9">
      <c r="A109" s="94">
        <v>45049</v>
      </c>
      <c r="B109" t="s">
        <v>9</v>
      </c>
      <c r="C109">
        <v>13387</v>
      </c>
      <c r="D109" t="s">
        <v>10</v>
      </c>
      <c r="E109">
        <v>9960000</v>
      </c>
      <c r="F109">
        <v>400</v>
      </c>
      <c r="G109" t="s">
        <v>66</v>
      </c>
      <c r="H109">
        <f>VLOOKUP(B109,Sheet5!$D$4:$F$20,3,0)</f>
        <v>2</v>
      </c>
      <c r="I109">
        <f>VLOOKUP(A109,Sheet3!$D$4:$G$34,4,0)</f>
        <v>29</v>
      </c>
    </row>
    <row r="110" spans="1:9">
      <c r="A110" s="94">
        <v>45049</v>
      </c>
      <c r="B110" t="s">
        <v>67</v>
      </c>
      <c r="C110">
        <v>13388</v>
      </c>
      <c r="D110" t="s">
        <v>68</v>
      </c>
      <c r="E110">
        <v>13000000</v>
      </c>
      <c r="F110">
        <v>20</v>
      </c>
      <c r="G110" t="s">
        <v>66</v>
      </c>
      <c r="H110">
        <f>VLOOKUP(B110,Sheet5!$D$4:$F$20,3,0)</f>
        <v>8</v>
      </c>
      <c r="I110">
        <f>VLOOKUP(A110,Sheet3!$D$4:$G$34,4,0)</f>
        <v>29</v>
      </c>
    </row>
    <row r="111" spans="1:9">
      <c r="A111" s="94">
        <v>45049</v>
      </c>
      <c r="B111" t="s">
        <v>9</v>
      </c>
      <c r="C111">
        <v>13389</v>
      </c>
      <c r="D111" t="s">
        <v>17</v>
      </c>
      <c r="E111">
        <v>11700000</v>
      </c>
      <c r="F111">
        <v>400</v>
      </c>
      <c r="G111" t="s">
        <v>66</v>
      </c>
      <c r="H111">
        <f>VLOOKUP(B111,Sheet5!$D$4:$F$20,3,0)</f>
        <v>2</v>
      </c>
      <c r="I111">
        <f>VLOOKUP(A111,Sheet3!$D$4:$G$34,4,0)</f>
        <v>29</v>
      </c>
    </row>
    <row r="112" spans="1:9">
      <c r="A112" s="94">
        <v>45049</v>
      </c>
      <c r="B112" t="s">
        <v>11</v>
      </c>
      <c r="C112">
        <v>13390</v>
      </c>
      <c r="D112" t="s">
        <v>12</v>
      </c>
      <c r="E112">
        <v>12000000</v>
      </c>
      <c r="F112">
        <v>400</v>
      </c>
      <c r="G112" t="s">
        <v>66</v>
      </c>
      <c r="H112">
        <f>VLOOKUP(B112,Sheet5!$D$4:$F$20,3,0)</f>
        <v>1</v>
      </c>
      <c r="I112">
        <f>VLOOKUP(A112,Sheet3!$D$4:$G$34,4,0)</f>
        <v>29</v>
      </c>
    </row>
    <row r="113" spans="1:9">
      <c r="A113" s="94">
        <v>45050</v>
      </c>
      <c r="B113" t="s">
        <v>11</v>
      </c>
      <c r="C113">
        <v>13392</v>
      </c>
      <c r="D113" t="s">
        <v>12</v>
      </c>
      <c r="E113">
        <v>12000000</v>
      </c>
      <c r="F113">
        <v>400</v>
      </c>
      <c r="G113" t="s">
        <v>69</v>
      </c>
      <c r="H113">
        <f>VLOOKUP(B113,Sheet5!$D$4:$F$20,3,0)</f>
        <v>1</v>
      </c>
      <c r="I113">
        <f>VLOOKUP(A113,Sheet3!$D$4:$G$34,4,0)</f>
        <v>30</v>
      </c>
    </row>
    <row r="114" spans="1:9">
      <c r="A114" s="94">
        <v>45050</v>
      </c>
      <c r="B114" t="s">
        <v>9</v>
      </c>
      <c r="C114">
        <v>13394</v>
      </c>
      <c r="D114" t="s">
        <v>10</v>
      </c>
      <c r="E114">
        <v>9960000</v>
      </c>
      <c r="F114">
        <v>399</v>
      </c>
      <c r="G114" t="s">
        <v>69</v>
      </c>
      <c r="H114">
        <f>VLOOKUP(B114,Sheet5!$D$4:$F$20,3,0)</f>
        <v>2</v>
      </c>
      <c r="I114">
        <f>VLOOKUP(A114,Sheet3!$D$4:$G$34,4,0)</f>
        <v>30</v>
      </c>
    </row>
    <row r="115" spans="1:9">
      <c r="A115" s="94">
        <v>45050</v>
      </c>
      <c r="B115" t="s">
        <v>9</v>
      </c>
      <c r="C115">
        <v>13395</v>
      </c>
      <c r="D115" t="s">
        <v>17</v>
      </c>
      <c r="E115">
        <v>11700000</v>
      </c>
      <c r="F115">
        <v>400</v>
      </c>
      <c r="G115" t="s">
        <v>69</v>
      </c>
      <c r="H115">
        <f>VLOOKUP(B115,Sheet5!$D$4:$F$20,3,0)</f>
        <v>2</v>
      </c>
      <c r="I115">
        <f>VLOOKUP(A115,Sheet3!$D$4:$G$34,4,0)</f>
        <v>30</v>
      </c>
    </row>
    <row r="116" spans="1:9">
      <c r="A116" s="94">
        <v>45050</v>
      </c>
      <c r="B116" t="s">
        <v>70</v>
      </c>
      <c r="C116">
        <v>13396</v>
      </c>
      <c r="D116" t="s">
        <v>14</v>
      </c>
      <c r="E116">
        <v>13000000</v>
      </c>
      <c r="F116">
        <v>1</v>
      </c>
      <c r="G116" t="s">
        <v>69</v>
      </c>
      <c r="H116">
        <f>VLOOKUP(B116,Sheet5!$D$4:$F$20,3,0)</f>
        <v>11</v>
      </c>
      <c r="I116">
        <f>VLOOKUP(A116,Sheet3!$D$4:$G$34,4,0)</f>
        <v>30</v>
      </c>
    </row>
    <row r="117" spans="1:9">
      <c r="A117" s="94">
        <v>45051</v>
      </c>
      <c r="B117" t="s">
        <v>13</v>
      </c>
      <c r="C117">
        <v>13393</v>
      </c>
      <c r="D117" t="s">
        <v>14</v>
      </c>
      <c r="E117">
        <v>7450000</v>
      </c>
      <c r="F117">
        <v>400</v>
      </c>
      <c r="G117" t="s">
        <v>71</v>
      </c>
      <c r="H117">
        <f>VLOOKUP(B117,Sheet5!$D$4:$F$20,3,0)</f>
        <v>3</v>
      </c>
      <c r="I117">
        <f>VLOOKUP(A117,Sheet3!$D$4:$G$34,4,0)</f>
        <v>31</v>
      </c>
    </row>
    <row r="118" spans="1:9">
      <c r="A118" s="94">
        <v>45051</v>
      </c>
      <c r="B118" t="s">
        <v>13</v>
      </c>
      <c r="C118">
        <v>13397</v>
      </c>
      <c r="D118" t="s">
        <v>25</v>
      </c>
      <c r="E118">
        <v>7450000</v>
      </c>
      <c r="F118">
        <v>400</v>
      </c>
      <c r="G118" t="s">
        <v>71</v>
      </c>
      <c r="H118">
        <f>VLOOKUP(B118,Sheet5!$D$4:$F$20,3,0)</f>
        <v>3</v>
      </c>
      <c r="I118">
        <f>VLOOKUP(A118,Sheet3!$D$4:$G$34,4,0)</f>
        <v>31</v>
      </c>
    </row>
    <row r="119" spans="1:9">
      <c r="A119" s="94">
        <v>45051</v>
      </c>
      <c r="B119" t="s">
        <v>67</v>
      </c>
      <c r="C119">
        <v>13398</v>
      </c>
      <c r="D119" t="s">
        <v>72</v>
      </c>
      <c r="E119">
        <v>13500000</v>
      </c>
      <c r="F119">
        <v>15</v>
      </c>
      <c r="G119" t="s">
        <v>71</v>
      </c>
      <c r="H119">
        <f>VLOOKUP(B119,Sheet5!$D$4:$F$20,3,0)</f>
        <v>8</v>
      </c>
      <c r="I119">
        <f>VLOOKUP(A119,Sheet3!$D$4:$G$34,4,0)</f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1F0E-E9DE-457A-8613-8BD4CC8E230C}">
  <dimension ref="A1:J73"/>
  <sheetViews>
    <sheetView rightToLeft="1" topLeftCell="A61" workbookViewId="0">
      <selection activeCell="D75" sqref="D75"/>
    </sheetView>
  </sheetViews>
  <sheetFormatPr defaultRowHeight="15"/>
  <cols>
    <col min="4" max="4" width="27.5703125" customWidth="1"/>
    <col min="7" max="7" width="13.42578125" customWidth="1"/>
    <col min="8" max="8" width="14.5703125" bestFit="1" customWidth="1"/>
    <col min="9" max="9" width="13.42578125" customWidth="1"/>
  </cols>
  <sheetData>
    <row r="1" spans="2:9" ht="18">
      <c r="B1" s="17"/>
      <c r="C1" s="113" t="s">
        <v>0</v>
      </c>
      <c r="D1" s="114"/>
      <c r="E1" s="114"/>
      <c r="F1" s="114"/>
      <c r="G1" s="114"/>
      <c r="H1" s="114"/>
      <c r="I1" s="115"/>
    </row>
    <row r="2" spans="2:9" ht="15.75">
      <c r="B2" s="17"/>
      <c r="C2" s="116" t="s">
        <v>74</v>
      </c>
      <c r="D2" s="117"/>
      <c r="E2" s="117"/>
      <c r="F2" s="117"/>
      <c r="G2" s="117"/>
      <c r="H2" s="117"/>
      <c r="I2" s="118"/>
    </row>
    <row r="3" spans="2:9" ht="15.75">
      <c r="B3" s="17"/>
      <c r="C3" s="18" t="s">
        <v>1</v>
      </c>
      <c r="D3" s="19" t="s">
        <v>75</v>
      </c>
      <c r="E3" s="20" t="s">
        <v>76</v>
      </c>
      <c r="F3" s="20" t="s">
        <v>77</v>
      </c>
      <c r="G3" s="20" t="s">
        <v>78</v>
      </c>
      <c r="H3" s="21" t="s">
        <v>79</v>
      </c>
      <c r="I3" s="22" t="s">
        <v>80</v>
      </c>
    </row>
    <row r="4" spans="2:9" ht="15.75">
      <c r="B4" s="17"/>
      <c r="C4" s="23">
        <v>1</v>
      </c>
      <c r="D4" s="24" t="s">
        <v>81</v>
      </c>
      <c r="E4" s="25">
        <f>400+400+1200+400+400+400+800</f>
        <v>4000</v>
      </c>
      <c r="F4" s="26">
        <f>400+400+400+400+800+400+800+800+400+400+400+1200+400+400+400+800</f>
        <v>8800</v>
      </c>
      <c r="G4" s="26">
        <f t="shared" ref="G4:G11" si="0">H4/F4</f>
        <v>10966726.818181818</v>
      </c>
      <c r="H4" s="27">
        <f>(8800*7450000)+(4400*4120130)+(3200*4005820)</f>
        <v>96507196000</v>
      </c>
      <c r="I4" s="28">
        <f t="shared" ref="I4:I51" si="1">F4/$F$52</f>
        <v>0.21958827199001871</v>
      </c>
    </row>
    <row r="5" spans="2:9" ht="15.75">
      <c r="B5" s="17"/>
      <c r="C5" s="23">
        <v>2</v>
      </c>
      <c r="D5" s="24" t="s">
        <v>82</v>
      </c>
      <c r="E5" s="25">
        <f>800+800</f>
        <v>1600</v>
      </c>
      <c r="F5" s="25">
        <f>800+800</f>
        <v>1600</v>
      </c>
      <c r="G5" s="26">
        <f t="shared" si="0"/>
        <v>12500000</v>
      </c>
      <c r="H5" s="27">
        <f>(1600*12500000)</f>
        <v>20000000000</v>
      </c>
      <c r="I5" s="29">
        <f t="shared" si="1"/>
        <v>3.9925140361821584E-2</v>
      </c>
    </row>
    <row r="6" spans="2:9" ht="15.75">
      <c r="B6" s="17"/>
      <c r="C6" s="23">
        <v>3</v>
      </c>
      <c r="D6" s="30" t="s">
        <v>83</v>
      </c>
      <c r="E6" s="25">
        <f>800+800+400+1597+800+400+1200+400+400+400</f>
        <v>7197</v>
      </c>
      <c r="F6" s="25">
        <f>400+400+1200+800+400+800+400+800+400+1200+800+800+800+800+800+800+400+1597+800+400+1200+400+400+400</f>
        <v>17197</v>
      </c>
      <c r="G6" s="26">
        <f t="shared" si="0"/>
        <v>12023259.870907716</v>
      </c>
      <c r="H6" s="27">
        <f>(16797*12000000)+(400*13000000)</f>
        <v>206764000000</v>
      </c>
      <c r="I6" s="28">
        <f t="shared" si="1"/>
        <v>0.42912039925140361</v>
      </c>
    </row>
    <row r="7" spans="2:9" ht="15.75">
      <c r="B7" s="17"/>
      <c r="C7" s="23">
        <v>4</v>
      </c>
      <c r="D7" s="30" t="s">
        <v>84</v>
      </c>
      <c r="E7" s="25">
        <f>800+799+400+400+398+400+400+800+799</f>
        <v>5196</v>
      </c>
      <c r="F7" s="26">
        <f>800+793+1200+800+400+400+400+800+799+400+400+398+400+400+800+799</f>
        <v>9989</v>
      </c>
      <c r="G7" s="26">
        <f t="shared" si="0"/>
        <v>11005149.664631095</v>
      </c>
      <c r="H7" s="27">
        <f>(3989*9960000)+(6000*11700000)</f>
        <v>109930440000</v>
      </c>
      <c r="I7" s="28">
        <f t="shared" si="1"/>
        <v>0.24925764192139738</v>
      </c>
    </row>
    <row r="8" spans="2:9" ht="15.75">
      <c r="B8" s="17"/>
      <c r="C8" s="23">
        <v>5</v>
      </c>
      <c r="D8" s="30" t="s">
        <v>85</v>
      </c>
      <c r="E8" s="25">
        <v>400</v>
      </c>
      <c r="F8" s="26">
        <f>400+400</f>
        <v>800</v>
      </c>
      <c r="G8" s="26">
        <f t="shared" si="0"/>
        <v>13500000</v>
      </c>
      <c r="H8" s="27">
        <f>(800*13500000)</f>
        <v>10800000000</v>
      </c>
      <c r="I8" s="28">
        <f t="shared" si="1"/>
        <v>1.9962570180910792E-2</v>
      </c>
    </row>
    <row r="9" spans="2:9" ht="15.75">
      <c r="B9" s="17"/>
      <c r="C9" s="23">
        <v>6</v>
      </c>
      <c r="D9" s="30" t="s">
        <v>86</v>
      </c>
      <c r="E9" s="26"/>
      <c r="F9" s="26">
        <v>314</v>
      </c>
      <c r="G9" s="26">
        <f t="shared" si="0"/>
        <v>13050000</v>
      </c>
      <c r="H9" s="27">
        <f>(314*13050000)</f>
        <v>4097700000</v>
      </c>
      <c r="I9" s="28">
        <f t="shared" si="1"/>
        <v>7.8353087960074865E-3</v>
      </c>
    </row>
    <row r="10" spans="2:9" ht="15.75">
      <c r="B10" s="17"/>
      <c r="C10" s="23">
        <v>7</v>
      </c>
      <c r="D10" s="30" t="s">
        <v>87</v>
      </c>
      <c r="E10" s="26">
        <f>100+167+120+49</f>
        <v>436</v>
      </c>
      <c r="F10" s="26">
        <f>50+100+120+47+120+49</f>
        <v>486</v>
      </c>
      <c r="G10" s="26">
        <f t="shared" si="0"/>
        <v>11900000</v>
      </c>
      <c r="H10" s="27">
        <f>(486*11900000)</f>
        <v>5783400000</v>
      </c>
      <c r="I10" s="28">
        <f t="shared" si="1"/>
        <v>1.2127261384903306E-2</v>
      </c>
    </row>
    <row r="11" spans="2:9" ht="15.75">
      <c r="B11" s="17"/>
      <c r="C11" s="23">
        <v>8</v>
      </c>
      <c r="D11" s="30" t="s">
        <v>88</v>
      </c>
      <c r="E11" s="26">
        <v>120</v>
      </c>
      <c r="F11" s="26">
        <v>120</v>
      </c>
      <c r="G11" s="26">
        <f t="shared" si="0"/>
        <v>13000000</v>
      </c>
      <c r="H11" s="27">
        <f>(120*13000000)</f>
        <v>1560000000</v>
      </c>
      <c r="I11" s="28">
        <f t="shared" si="1"/>
        <v>2.9943855271366187E-3</v>
      </c>
    </row>
    <row r="12" spans="2:9" ht="15.75">
      <c r="B12" s="17"/>
      <c r="C12" s="23">
        <v>9</v>
      </c>
      <c r="D12" s="31" t="s">
        <v>89</v>
      </c>
      <c r="E12" s="26"/>
      <c r="F12" s="26"/>
      <c r="G12" s="26"/>
      <c r="H12" s="27"/>
      <c r="I12" s="28">
        <f t="shared" si="1"/>
        <v>0</v>
      </c>
    </row>
    <row r="13" spans="2:9" ht="15.75">
      <c r="B13" s="17"/>
      <c r="C13" s="23">
        <v>9</v>
      </c>
      <c r="D13" s="30" t="s">
        <v>67</v>
      </c>
      <c r="E13" s="26">
        <f>20+15</f>
        <v>35</v>
      </c>
      <c r="F13" s="26">
        <f>20+15</f>
        <v>35</v>
      </c>
      <c r="G13" s="26">
        <f>H13/F13</f>
        <v>13214285.714285715</v>
      </c>
      <c r="H13" s="27">
        <f>(20*13000000)+(15*13500000)</f>
        <v>462500000</v>
      </c>
      <c r="I13" s="28">
        <f t="shared" si="1"/>
        <v>8.7336244541484718E-4</v>
      </c>
    </row>
    <row r="14" spans="2:9" ht="15.75">
      <c r="B14" s="17"/>
      <c r="C14" s="23">
        <v>11</v>
      </c>
      <c r="D14" s="30" t="s">
        <v>90</v>
      </c>
      <c r="E14" s="26"/>
      <c r="F14" s="26"/>
      <c r="G14" s="26"/>
      <c r="H14" s="27"/>
      <c r="I14" s="28">
        <f t="shared" si="1"/>
        <v>0</v>
      </c>
    </row>
    <row r="15" spans="2:9" ht="15.75">
      <c r="B15" s="17"/>
      <c r="C15" s="23">
        <v>12</v>
      </c>
      <c r="D15" s="30" t="s">
        <v>91</v>
      </c>
      <c r="E15" s="26"/>
      <c r="F15" s="26"/>
      <c r="G15" s="26"/>
      <c r="H15" s="27"/>
      <c r="I15" s="28">
        <f t="shared" si="1"/>
        <v>0</v>
      </c>
    </row>
    <row r="16" spans="2:9" ht="15.75">
      <c r="B16" s="17"/>
      <c r="C16" s="23">
        <v>13</v>
      </c>
      <c r="D16" s="30" t="s">
        <v>92</v>
      </c>
      <c r="E16" s="26"/>
      <c r="F16" s="26"/>
      <c r="G16" s="26"/>
      <c r="H16" s="27"/>
      <c r="I16" s="28">
        <f t="shared" si="1"/>
        <v>0</v>
      </c>
    </row>
    <row r="17" spans="2:9" ht="15.75">
      <c r="B17" s="17"/>
      <c r="C17" s="23">
        <v>14</v>
      </c>
      <c r="D17" s="30" t="s">
        <v>93</v>
      </c>
      <c r="E17" s="26"/>
      <c r="F17" s="26"/>
      <c r="G17" s="26"/>
      <c r="H17" s="27"/>
      <c r="I17" s="28">
        <f t="shared" si="1"/>
        <v>0</v>
      </c>
    </row>
    <row r="18" spans="2:9" ht="15.75">
      <c r="B18" s="17"/>
      <c r="C18" s="23">
        <v>15</v>
      </c>
      <c r="D18" s="30" t="s">
        <v>94</v>
      </c>
      <c r="E18" s="26"/>
      <c r="F18" s="26"/>
      <c r="G18" s="26"/>
      <c r="H18" s="27"/>
      <c r="I18" s="28">
        <f t="shared" si="1"/>
        <v>0</v>
      </c>
    </row>
    <row r="19" spans="2:9" ht="15.75">
      <c r="B19" s="17"/>
      <c r="C19" s="23">
        <v>16</v>
      </c>
      <c r="D19" s="30" t="s">
        <v>95</v>
      </c>
      <c r="E19" s="26"/>
      <c r="F19" s="26"/>
      <c r="G19" s="26"/>
      <c r="H19" s="27"/>
      <c r="I19" s="28">
        <f t="shared" si="1"/>
        <v>0</v>
      </c>
    </row>
    <row r="20" spans="2:9" ht="15.75">
      <c r="B20" s="17"/>
      <c r="C20" s="23">
        <v>17</v>
      </c>
      <c r="D20" s="32" t="s">
        <v>96</v>
      </c>
      <c r="E20" s="25"/>
      <c r="F20" s="25"/>
      <c r="G20" s="25"/>
      <c r="H20" s="27"/>
      <c r="I20" s="29">
        <f t="shared" si="1"/>
        <v>0</v>
      </c>
    </row>
    <row r="21" spans="2:9" ht="15.75">
      <c r="B21" s="17"/>
      <c r="C21" s="23">
        <v>18</v>
      </c>
      <c r="D21" s="30" t="s">
        <v>97</v>
      </c>
      <c r="E21" s="26"/>
      <c r="F21" s="26"/>
      <c r="G21" s="26"/>
      <c r="H21" s="27"/>
      <c r="I21" s="28">
        <f t="shared" si="1"/>
        <v>0</v>
      </c>
    </row>
    <row r="22" spans="2:9" ht="15.75">
      <c r="B22" s="17"/>
      <c r="C22" s="23">
        <v>19</v>
      </c>
      <c r="D22" s="30" t="s">
        <v>98</v>
      </c>
      <c r="E22" s="26"/>
      <c r="F22" s="26"/>
      <c r="G22" s="26"/>
      <c r="H22" s="27"/>
      <c r="I22" s="28">
        <f t="shared" si="1"/>
        <v>0</v>
      </c>
    </row>
    <row r="23" spans="2:9" ht="15.75">
      <c r="B23" s="17"/>
      <c r="C23" s="23">
        <v>20</v>
      </c>
      <c r="D23" s="30" t="s">
        <v>99</v>
      </c>
      <c r="E23" s="26"/>
      <c r="F23" s="26"/>
      <c r="G23" s="26"/>
      <c r="H23" s="27"/>
      <c r="I23" s="28">
        <f t="shared" si="1"/>
        <v>0</v>
      </c>
    </row>
    <row r="24" spans="2:9" ht="15.75">
      <c r="B24" s="17"/>
      <c r="C24" s="23">
        <v>21</v>
      </c>
      <c r="D24" s="30" t="s">
        <v>100</v>
      </c>
      <c r="E24" s="26"/>
      <c r="F24" s="26"/>
      <c r="G24" s="26"/>
      <c r="H24" s="27"/>
      <c r="I24" s="28">
        <f t="shared" si="1"/>
        <v>0</v>
      </c>
    </row>
    <row r="25" spans="2:9" ht="15.75">
      <c r="B25" s="17"/>
      <c r="C25" s="23">
        <v>22</v>
      </c>
      <c r="D25" s="30" t="s">
        <v>101</v>
      </c>
      <c r="E25" s="26"/>
      <c r="F25" s="26"/>
      <c r="G25" s="26"/>
      <c r="H25" s="27"/>
      <c r="I25" s="28">
        <f t="shared" si="1"/>
        <v>0</v>
      </c>
    </row>
    <row r="26" spans="2:9" ht="15.75">
      <c r="B26" s="17"/>
      <c r="C26" s="23">
        <v>23</v>
      </c>
      <c r="D26" s="30" t="s">
        <v>102</v>
      </c>
      <c r="E26" s="26"/>
      <c r="F26" s="26"/>
      <c r="G26" s="26"/>
      <c r="H26" s="27"/>
      <c r="I26" s="28">
        <f t="shared" si="1"/>
        <v>0</v>
      </c>
    </row>
    <row r="27" spans="2:9" ht="15.75">
      <c r="B27" s="17"/>
      <c r="C27" s="23">
        <v>24</v>
      </c>
      <c r="D27" s="30" t="s">
        <v>103</v>
      </c>
      <c r="E27" s="26"/>
      <c r="F27" s="26"/>
      <c r="G27" s="26"/>
      <c r="H27" s="27"/>
      <c r="I27" s="28">
        <f t="shared" si="1"/>
        <v>0</v>
      </c>
    </row>
    <row r="28" spans="2:9" ht="15.75">
      <c r="B28" s="17"/>
      <c r="C28" s="23">
        <v>10</v>
      </c>
      <c r="D28" s="30" t="s">
        <v>104</v>
      </c>
      <c r="E28" s="26">
        <v>30</v>
      </c>
      <c r="F28" s="26">
        <v>30</v>
      </c>
      <c r="G28" s="26">
        <f>H28/F28</f>
        <v>11200000</v>
      </c>
      <c r="H28" s="27">
        <f>(30*11200000)</f>
        <v>336000000</v>
      </c>
      <c r="I28" s="28">
        <f t="shared" si="1"/>
        <v>7.4859638178415466E-4</v>
      </c>
    </row>
    <row r="29" spans="2:9" ht="15.75">
      <c r="B29" s="17"/>
      <c r="C29" s="23">
        <v>11</v>
      </c>
      <c r="D29" s="30" t="s">
        <v>65</v>
      </c>
      <c r="E29" s="26">
        <v>7</v>
      </c>
      <c r="F29" s="26">
        <v>7</v>
      </c>
      <c r="G29" s="26">
        <f>H29/F29</f>
        <v>13000000</v>
      </c>
      <c r="H29" s="27">
        <f>(7*13000000)</f>
        <v>91000000</v>
      </c>
      <c r="I29" s="28">
        <f t="shared" si="1"/>
        <v>1.7467248908296942E-4</v>
      </c>
    </row>
    <row r="30" spans="2:9" ht="15.75">
      <c r="B30" s="17"/>
      <c r="C30" s="23">
        <v>27</v>
      </c>
      <c r="D30" s="30" t="s">
        <v>105</v>
      </c>
      <c r="E30" s="26"/>
      <c r="F30" s="26"/>
      <c r="G30" s="26"/>
      <c r="H30" s="27"/>
      <c r="I30" s="28">
        <f t="shared" si="1"/>
        <v>0</v>
      </c>
    </row>
    <row r="31" spans="2:9" ht="15.75">
      <c r="B31" s="17"/>
      <c r="C31" s="23">
        <v>28</v>
      </c>
      <c r="D31" s="30" t="s">
        <v>106</v>
      </c>
      <c r="E31" s="26"/>
      <c r="F31" s="26"/>
      <c r="G31" s="26"/>
      <c r="H31" s="27"/>
      <c r="I31" s="28">
        <f t="shared" si="1"/>
        <v>0</v>
      </c>
    </row>
    <row r="32" spans="2:9" ht="15.75">
      <c r="B32" s="17"/>
      <c r="C32" s="23">
        <v>29</v>
      </c>
      <c r="D32" s="30" t="s">
        <v>107</v>
      </c>
      <c r="E32" s="26"/>
      <c r="F32" s="26"/>
      <c r="G32" s="26"/>
      <c r="H32" s="27"/>
      <c r="I32" s="28">
        <f t="shared" si="1"/>
        <v>0</v>
      </c>
    </row>
    <row r="33" spans="2:9" ht="15.75">
      <c r="B33" s="17"/>
      <c r="C33" s="23">
        <v>30</v>
      </c>
      <c r="D33" s="30" t="s">
        <v>108</v>
      </c>
      <c r="E33" s="26"/>
      <c r="F33" s="26"/>
      <c r="G33" s="26"/>
      <c r="H33" s="27"/>
      <c r="I33" s="28">
        <f t="shared" si="1"/>
        <v>0</v>
      </c>
    </row>
    <row r="34" spans="2:9" ht="15.75">
      <c r="B34" s="17"/>
      <c r="C34" s="23">
        <v>31</v>
      </c>
      <c r="D34" s="30" t="s">
        <v>109</v>
      </c>
      <c r="E34" s="26"/>
      <c r="F34" s="26"/>
      <c r="G34" s="26"/>
      <c r="H34" s="27"/>
      <c r="I34" s="28">
        <f t="shared" si="1"/>
        <v>0</v>
      </c>
    </row>
    <row r="35" spans="2:9" ht="15.75">
      <c r="B35" s="17"/>
      <c r="C35" s="23">
        <v>32</v>
      </c>
      <c r="D35" s="30" t="s">
        <v>110</v>
      </c>
      <c r="E35" s="26"/>
      <c r="F35" s="26"/>
      <c r="G35" s="26"/>
      <c r="H35" s="27"/>
      <c r="I35" s="28">
        <f t="shared" si="1"/>
        <v>0</v>
      </c>
    </row>
    <row r="36" spans="2:9" ht="15.75">
      <c r="B36" s="17"/>
      <c r="C36" s="23">
        <v>33</v>
      </c>
      <c r="D36" s="30" t="s">
        <v>111</v>
      </c>
      <c r="E36" s="26"/>
      <c r="F36" s="26"/>
      <c r="G36" s="26"/>
      <c r="H36" s="27"/>
      <c r="I36" s="28">
        <f t="shared" si="1"/>
        <v>0</v>
      </c>
    </row>
    <row r="37" spans="2:9" ht="15.75">
      <c r="B37" s="17"/>
      <c r="C37" s="23">
        <v>34</v>
      </c>
      <c r="D37" s="30" t="s">
        <v>112</v>
      </c>
      <c r="E37" s="26"/>
      <c r="F37" s="26"/>
      <c r="G37" s="26"/>
      <c r="H37" s="27"/>
      <c r="I37" s="28">
        <f t="shared" si="1"/>
        <v>0</v>
      </c>
    </row>
    <row r="38" spans="2:9" ht="15.75">
      <c r="B38" s="17"/>
      <c r="C38" s="23">
        <v>35</v>
      </c>
      <c r="D38" s="30" t="s">
        <v>113</v>
      </c>
      <c r="E38" s="26"/>
      <c r="F38" s="26"/>
      <c r="G38" s="26"/>
      <c r="H38" s="27"/>
      <c r="I38" s="28">
        <f t="shared" si="1"/>
        <v>0</v>
      </c>
    </row>
    <row r="39" spans="2:9" ht="15.75">
      <c r="B39" s="17"/>
      <c r="C39" s="23">
        <v>36</v>
      </c>
      <c r="D39" s="30" t="s">
        <v>114</v>
      </c>
      <c r="E39" s="26"/>
      <c r="F39" s="26"/>
      <c r="G39" s="26"/>
      <c r="H39" s="27"/>
      <c r="I39" s="28">
        <f t="shared" si="1"/>
        <v>0</v>
      </c>
    </row>
    <row r="40" spans="2:9" ht="15.75">
      <c r="B40" s="17"/>
      <c r="C40" s="23">
        <v>37</v>
      </c>
      <c r="D40" s="30" t="s">
        <v>115</v>
      </c>
      <c r="E40" s="26"/>
      <c r="F40" s="26"/>
      <c r="G40" s="26"/>
      <c r="H40" s="27"/>
      <c r="I40" s="28">
        <f t="shared" si="1"/>
        <v>0</v>
      </c>
    </row>
    <row r="41" spans="2:9" ht="15.75">
      <c r="B41" s="17"/>
      <c r="C41" s="23">
        <v>38</v>
      </c>
      <c r="D41" s="30" t="s">
        <v>116</v>
      </c>
      <c r="E41" s="26"/>
      <c r="F41" s="26"/>
      <c r="G41" s="26"/>
      <c r="H41" s="27"/>
      <c r="I41" s="28">
        <f t="shared" si="1"/>
        <v>0</v>
      </c>
    </row>
    <row r="42" spans="2:9" ht="15.75">
      <c r="B42" s="17"/>
      <c r="C42" s="23">
        <v>39</v>
      </c>
      <c r="D42" s="30" t="s">
        <v>117</v>
      </c>
      <c r="E42" s="26"/>
      <c r="F42" s="26"/>
      <c r="G42" s="26"/>
      <c r="H42" s="27"/>
      <c r="I42" s="28">
        <f t="shared" si="1"/>
        <v>0</v>
      </c>
    </row>
    <row r="43" spans="2:9" ht="15.75">
      <c r="B43" s="17"/>
      <c r="C43" s="23">
        <v>40</v>
      </c>
      <c r="D43" s="30" t="s">
        <v>118</v>
      </c>
      <c r="E43" s="26"/>
      <c r="F43" s="26"/>
      <c r="G43" s="26"/>
      <c r="H43" s="27"/>
      <c r="I43" s="28">
        <f t="shared" si="1"/>
        <v>0</v>
      </c>
    </row>
    <row r="44" spans="2:9" ht="15.75">
      <c r="B44" s="17"/>
      <c r="C44" s="23">
        <v>12</v>
      </c>
      <c r="D44" s="30" t="s">
        <v>63</v>
      </c>
      <c r="E44" s="26">
        <v>22</v>
      </c>
      <c r="F44" s="26">
        <v>22</v>
      </c>
      <c r="G44" s="26">
        <f>H44/F44</f>
        <v>12000000</v>
      </c>
      <c r="H44" s="27">
        <f>(22*12000000)</f>
        <v>264000000</v>
      </c>
      <c r="I44" s="28">
        <f t="shared" si="1"/>
        <v>5.4897067997504683E-4</v>
      </c>
    </row>
    <row r="45" spans="2:9" ht="15.75">
      <c r="B45" s="17"/>
      <c r="C45" s="23">
        <v>42</v>
      </c>
      <c r="D45" s="30" t="s">
        <v>119</v>
      </c>
      <c r="E45" s="26"/>
      <c r="F45" s="26"/>
      <c r="G45" s="26"/>
      <c r="H45" s="27"/>
      <c r="I45" s="28">
        <f t="shared" si="1"/>
        <v>0</v>
      </c>
    </row>
    <row r="46" spans="2:9" ht="15.75">
      <c r="B46" s="17"/>
      <c r="C46" s="23">
        <v>13</v>
      </c>
      <c r="D46" s="30" t="s">
        <v>22</v>
      </c>
      <c r="E46" s="26"/>
      <c r="F46" s="26">
        <v>398</v>
      </c>
      <c r="G46" s="26">
        <f t="shared" ref="G46:G58" si="2">H46/F46</f>
        <v>11800000</v>
      </c>
      <c r="H46" s="27">
        <f>(398*11800000)</f>
        <v>4696400000</v>
      </c>
      <c r="I46" s="28">
        <f t="shared" si="1"/>
        <v>9.9313786650031197E-3</v>
      </c>
    </row>
    <row r="47" spans="2:9" ht="15.75">
      <c r="B47" s="17"/>
      <c r="C47" s="23">
        <v>44</v>
      </c>
      <c r="D47" s="30" t="s">
        <v>120</v>
      </c>
      <c r="E47" s="26"/>
      <c r="F47" s="26"/>
      <c r="G47" s="26"/>
      <c r="H47" s="27"/>
      <c r="I47" s="28">
        <f t="shared" si="1"/>
        <v>0</v>
      </c>
    </row>
    <row r="48" spans="2:9" ht="15.75">
      <c r="B48" s="17"/>
      <c r="C48" s="23">
        <v>14</v>
      </c>
      <c r="D48" s="30" t="s">
        <v>41</v>
      </c>
      <c r="E48" s="26"/>
      <c r="F48" s="26">
        <f>46+120</f>
        <v>166</v>
      </c>
      <c r="G48" s="26">
        <f t="shared" si="2"/>
        <v>13050000</v>
      </c>
      <c r="H48" s="27">
        <f>(166*13050000)</f>
        <v>2166300000</v>
      </c>
      <c r="I48" s="28">
        <f t="shared" si="1"/>
        <v>4.142233312538989E-3</v>
      </c>
    </row>
    <row r="49" spans="1:10" ht="15.75">
      <c r="B49" s="17"/>
      <c r="C49" s="23">
        <v>15</v>
      </c>
      <c r="D49" s="30" t="s">
        <v>70</v>
      </c>
      <c r="E49" s="26">
        <v>1</v>
      </c>
      <c r="F49" s="26">
        <v>1</v>
      </c>
      <c r="G49" s="26">
        <f t="shared" si="2"/>
        <v>13000000</v>
      </c>
      <c r="H49" s="27">
        <f>(1*13000000)</f>
        <v>13000000</v>
      </c>
      <c r="I49" s="28">
        <f t="shared" si="1"/>
        <v>2.4953212726138489E-5</v>
      </c>
    </row>
    <row r="50" spans="1:10" ht="15.75">
      <c r="B50" s="17"/>
      <c r="C50" s="23">
        <v>16</v>
      </c>
      <c r="D50" s="30" t="s">
        <v>121</v>
      </c>
      <c r="E50" s="26">
        <v>100</v>
      </c>
      <c r="F50" s="26">
        <v>100</v>
      </c>
      <c r="G50" s="26">
        <f t="shared" si="2"/>
        <v>13000000</v>
      </c>
      <c r="H50" s="27">
        <f>(100*13000000)</f>
        <v>1300000000</v>
      </c>
      <c r="I50" s="28">
        <f t="shared" si="1"/>
        <v>2.495321272613849E-3</v>
      </c>
    </row>
    <row r="51" spans="1:10" ht="15.75">
      <c r="B51" s="17"/>
      <c r="C51" s="23">
        <v>17</v>
      </c>
      <c r="D51" s="30" t="s">
        <v>54</v>
      </c>
      <c r="E51" s="26">
        <v>10</v>
      </c>
      <c r="F51" s="26">
        <v>10</v>
      </c>
      <c r="G51" s="26">
        <f t="shared" si="2"/>
        <v>13000000</v>
      </c>
      <c r="H51" s="27">
        <f>(10*13000000)</f>
        <v>130000000</v>
      </c>
      <c r="I51" s="28">
        <f t="shared" si="1"/>
        <v>2.4953212726138492E-4</v>
      </c>
    </row>
    <row r="52" spans="1:10" ht="15.75">
      <c r="B52" s="17"/>
      <c r="C52" s="119" t="s">
        <v>122</v>
      </c>
      <c r="D52" s="120"/>
      <c r="E52" s="20">
        <f>SUM(E4:E51)</f>
        <v>19154</v>
      </c>
      <c r="F52" s="20">
        <f>SUM(F4:F51)</f>
        <v>40075</v>
      </c>
      <c r="G52" s="20">
        <f>H52/F52</f>
        <v>11600796.905801622</v>
      </c>
      <c r="H52" s="21">
        <f>SUM(H4:H51)</f>
        <v>464901936000</v>
      </c>
      <c r="I52" s="33">
        <f>SUM(I4:I51)</f>
        <v>0.99999999999999978</v>
      </c>
    </row>
    <row r="53" spans="1:10" ht="15.75">
      <c r="B53" s="17"/>
      <c r="C53" s="121" t="s">
        <v>123</v>
      </c>
      <c r="D53" s="122"/>
      <c r="E53" s="25"/>
      <c r="F53" s="26"/>
      <c r="G53" s="26"/>
      <c r="H53" s="34"/>
      <c r="I53" s="35"/>
    </row>
    <row r="54" spans="1:10" ht="15.75">
      <c r="B54" s="17"/>
      <c r="C54" s="121" t="s">
        <v>124</v>
      </c>
      <c r="D54" s="122"/>
      <c r="E54" s="25"/>
      <c r="F54" s="26"/>
      <c r="G54" s="26"/>
      <c r="H54" s="34"/>
      <c r="I54" s="35"/>
    </row>
    <row r="55" spans="1:10" ht="15.75">
      <c r="B55" s="17"/>
      <c r="C55" s="123" t="s">
        <v>125</v>
      </c>
      <c r="D55" s="124"/>
      <c r="E55" s="20">
        <f>SUM(E53:E54)</f>
        <v>0</v>
      </c>
      <c r="F55" s="20">
        <f>SUM(F53:F54)</f>
        <v>0</v>
      </c>
      <c r="G55" s="20">
        <v>0</v>
      </c>
      <c r="H55" s="21">
        <f>SUM(H53:H54)</f>
        <v>0</v>
      </c>
      <c r="I55" s="33">
        <f>SUM(I53:I54)</f>
        <v>0</v>
      </c>
    </row>
    <row r="56" spans="1:10" ht="15.75">
      <c r="B56" s="17"/>
      <c r="C56" s="121" t="s">
        <v>83</v>
      </c>
      <c r="D56" s="122"/>
      <c r="E56" s="25">
        <f>E6</f>
        <v>7197</v>
      </c>
      <c r="F56" s="26">
        <f>F6</f>
        <v>17197</v>
      </c>
      <c r="G56" s="26">
        <f t="shared" si="2"/>
        <v>12023259.870907716</v>
      </c>
      <c r="H56" s="27">
        <f>H6</f>
        <v>206764000000</v>
      </c>
      <c r="I56" s="35">
        <f>F56/$F$61</f>
        <v>0.42912039925140361</v>
      </c>
    </row>
    <row r="57" spans="1:10" ht="15.75">
      <c r="B57" s="17"/>
      <c r="C57" s="121" t="s">
        <v>126</v>
      </c>
      <c r="D57" s="122"/>
      <c r="E57" s="25">
        <f>E7</f>
        <v>5196</v>
      </c>
      <c r="F57" s="26">
        <f>F7</f>
        <v>9989</v>
      </c>
      <c r="G57" s="26">
        <f t="shared" si="2"/>
        <v>11005149.664631095</v>
      </c>
      <c r="H57" s="27">
        <f>H7</f>
        <v>109930440000</v>
      </c>
      <c r="I57" s="35">
        <f>F57/$F$61</f>
        <v>0.24925764192139738</v>
      </c>
    </row>
    <row r="58" spans="1:10" ht="15.75">
      <c r="B58" s="17"/>
      <c r="C58" s="121" t="s">
        <v>127</v>
      </c>
      <c r="D58" s="122"/>
      <c r="E58" s="25">
        <f>E5</f>
        <v>1600</v>
      </c>
      <c r="F58" s="26">
        <f>F5</f>
        <v>1600</v>
      </c>
      <c r="G58" s="26">
        <f t="shared" si="2"/>
        <v>12500000</v>
      </c>
      <c r="H58" s="27">
        <f>H5</f>
        <v>20000000000</v>
      </c>
      <c r="I58" s="35">
        <f>F58/$F$61</f>
        <v>3.9925140361821584E-2</v>
      </c>
    </row>
    <row r="59" spans="1:10" ht="15.75">
      <c r="B59" s="17"/>
      <c r="C59" s="121" t="s">
        <v>128</v>
      </c>
      <c r="D59" s="122"/>
      <c r="E59" s="25">
        <f>E4-E54</f>
        <v>4000</v>
      </c>
      <c r="F59" s="26">
        <f>F4-F54</f>
        <v>8800</v>
      </c>
      <c r="G59" s="26">
        <f>H59/F59</f>
        <v>10966726.818181818</v>
      </c>
      <c r="H59" s="27">
        <f>H4-H54</f>
        <v>96507196000</v>
      </c>
      <c r="I59" s="35">
        <f>F59/$F$61</f>
        <v>0.21958827199001871</v>
      </c>
    </row>
    <row r="60" spans="1:10" ht="15.75">
      <c r="B60" s="17"/>
      <c r="C60" s="121" t="s">
        <v>129</v>
      </c>
      <c r="D60" s="122"/>
      <c r="E60" s="26">
        <f>E10+E46+E9+E48+E8+E50+E51+E11+E28+E29+E44+E13+E49</f>
        <v>1161</v>
      </c>
      <c r="F60" s="26">
        <f>F10+F46+F9+F48+F8+F50+F51+F11+F44+F29+F28+F13+F49</f>
        <v>2489</v>
      </c>
      <c r="G60" s="26">
        <f>H60/F60</f>
        <v>12736159.100040177</v>
      </c>
      <c r="H60" s="34">
        <f>H10+H46+H9+H48+H8+H50+H51+H11+H44+H29+H28+H13+H49</f>
        <v>31700300000</v>
      </c>
      <c r="I60" s="35">
        <f>F60/$F$61</f>
        <v>6.2108546475358704E-2</v>
      </c>
    </row>
    <row r="61" spans="1:10" ht="16.5" thickBot="1">
      <c r="C61" s="111" t="s">
        <v>130</v>
      </c>
      <c r="D61" s="112"/>
      <c r="E61" s="36">
        <f>SUM(E56:E60)</f>
        <v>19154</v>
      </c>
      <c r="F61" s="36">
        <f>SUM(F56:F60)</f>
        <v>40075</v>
      </c>
      <c r="G61" s="36">
        <f>H61/F61</f>
        <v>11600796.905801622</v>
      </c>
      <c r="H61" s="37">
        <f>SUM(H56:H60)</f>
        <v>464901936000</v>
      </c>
      <c r="I61" s="38">
        <f>SUM(I56:I60)</f>
        <v>1</v>
      </c>
    </row>
    <row r="62" spans="1:10" ht="15.75" thickBot="1"/>
    <row r="63" spans="1:10" ht="18">
      <c r="A63" s="135" t="s">
        <v>0</v>
      </c>
      <c r="B63" s="136"/>
      <c r="C63" s="136"/>
      <c r="D63" s="136"/>
      <c r="E63" s="136"/>
      <c r="F63" s="136"/>
      <c r="G63" s="136"/>
      <c r="H63" s="136"/>
      <c r="I63" s="136"/>
      <c r="J63" s="137"/>
    </row>
    <row r="64" spans="1:10" ht="16.5" thickBot="1">
      <c r="A64" s="138" t="s">
        <v>131</v>
      </c>
      <c r="B64" s="139"/>
      <c r="C64" s="139"/>
      <c r="D64" s="139"/>
      <c r="E64" s="139"/>
      <c r="F64" s="139"/>
      <c r="G64" s="139"/>
      <c r="H64" s="139"/>
      <c r="I64" s="139"/>
      <c r="J64" s="140"/>
    </row>
    <row r="65" spans="1:10">
      <c r="A65" s="141"/>
      <c r="B65" s="142"/>
      <c r="C65" s="39" t="s">
        <v>132</v>
      </c>
      <c r="D65" s="39" t="s">
        <v>133</v>
      </c>
      <c r="E65" s="39" t="s">
        <v>134</v>
      </c>
      <c r="F65" s="39" t="s">
        <v>135</v>
      </c>
      <c r="G65" s="39" t="s">
        <v>136</v>
      </c>
      <c r="H65" s="39" t="s">
        <v>137</v>
      </c>
      <c r="I65" s="39" t="s">
        <v>138</v>
      </c>
      <c r="J65" s="40" t="s">
        <v>139</v>
      </c>
    </row>
    <row r="66" spans="1:10">
      <c r="A66" s="125" t="s">
        <v>140</v>
      </c>
      <c r="B66" s="126"/>
      <c r="C66" s="41" t="s">
        <v>141</v>
      </c>
      <c r="D66" s="42">
        <f>400+400+800+400+793+400+400+1200+1200+800+800+400+400+400+800+400+398+800+400+400+800+400+50+400+800+800+1200+800+400+800+400+800+434+46+800</f>
        <v>20921</v>
      </c>
      <c r="E66" s="43">
        <f>500+100+400+400+1200+1200+10+1200+800+799+1597+400+120+47+800+400+120+800+400+400+398+400+400+1200+22+15+400+400+400+15+120+7+49+800+400+400+20+800+799+400+1+15</f>
        <v>19154</v>
      </c>
      <c r="F66" s="42"/>
      <c r="G66" s="42"/>
      <c r="H66" s="42"/>
      <c r="I66" s="42"/>
      <c r="J66" s="44">
        <f>SUM(D66:I66)</f>
        <v>40075</v>
      </c>
    </row>
    <row r="67" spans="1:10">
      <c r="A67" s="127"/>
      <c r="B67" s="128"/>
      <c r="C67" s="41" t="s">
        <v>142</v>
      </c>
      <c r="D67" s="42"/>
      <c r="E67" s="42"/>
      <c r="F67" s="42"/>
      <c r="G67" s="42"/>
      <c r="H67" s="42"/>
      <c r="I67" s="42"/>
      <c r="J67" s="44">
        <f>SUM(D67:I67)</f>
        <v>0</v>
      </c>
    </row>
    <row r="68" spans="1:10">
      <c r="A68" s="143" t="s">
        <v>143</v>
      </c>
      <c r="B68" s="144"/>
      <c r="C68" s="144"/>
      <c r="D68" s="45">
        <f t="shared" ref="D68:I68" si="3">D66-D67</f>
        <v>20921</v>
      </c>
      <c r="E68" s="46">
        <f t="shared" si="3"/>
        <v>19154</v>
      </c>
      <c r="F68" s="45">
        <f t="shared" si="3"/>
        <v>0</v>
      </c>
      <c r="G68" s="45">
        <f>G66-G67</f>
        <v>0</v>
      </c>
      <c r="H68" s="45">
        <f>H66-H67</f>
        <v>0</v>
      </c>
      <c r="I68" s="45">
        <f t="shared" si="3"/>
        <v>0</v>
      </c>
      <c r="J68" s="47">
        <f>J66-J67</f>
        <v>40075</v>
      </c>
    </row>
    <row r="69" spans="1:10">
      <c r="A69" s="143" t="s">
        <v>132</v>
      </c>
      <c r="B69" s="144"/>
      <c r="C69" s="144"/>
      <c r="D69" s="41" t="s">
        <v>144</v>
      </c>
      <c r="E69" s="41" t="s">
        <v>145</v>
      </c>
      <c r="F69" s="41" t="s">
        <v>146</v>
      </c>
      <c r="G69" s="41" t="s">
        <v>147</v>
      </c>
      <c r="H69" s="41" t="s">
        <v>148</v>
      </c>
      <c r="I69" s="41" t="s">
        <v>149</v>
      </c>
      <c r="J69" s="48" t="s">
        <v>139</v>
      </c>
    </row>
    <row r="70" spans="1:10">
      <c r="A70" s="125" t="s">
        <v>150</v>
      </c>
      <c r="B70" s="126"/>
      <c r="C70" s="41" t="s">
        <v>141</v>
      </c>
      <c r="D70" s="42"/>
      <c r="E70" s="43"/>
      <c r="F70" s="42"/>
      <c r="G70" s="42"/>
      <c r="H70" s="42"/>
      <c r="I70" s="42"/>
      <c r="J70" s="44">
        <f>SUM(D70:I70)</f>
        <v>0</v>
      </c>
    </row>
    <row r="71" spans="1:10">
      <c r="A71" s="127"/>
      <c r="B71" s="128"/>
      <c r="C71" s="41" t="s">
        <v>142</v>
      </c>
      <c r="D71" s="42"/>
      <c r="E71" s="42"/>
      <c r="F71" s="42"/>
      <c r="G71" s="42"/>
      <c r="H71" s="42"/>
      <c r="I71" s="42"/>
      <c r="J71" s="44">
        <f>SUM(D71:I71)</f>
        <v>0</v>
      </c>
    </row>
    <row r="72" spans="1:10">
      <c r="A72" s="129" t="s">
        <v>143</v>
      </c>
      <c r="B72" s="130"/>
      <c r="C72" s="131"/>
      <c r="D72" s="45">
        <f t="shared" ref="D72:J72" si="4">D70-D71</f>
        <v>0</v>
      </c>
      <c r="E72" s="46">
        <f t="shared" si="4"/>
        <v>0</v>
      </c>
      <c r="F72" s="45">
        <f t="shared" si="4"/>
        <v>0</v>
      </c>
      <c r="G72" s="45">
        <f t="shared" si="4"/>
        <v>0</v>
      </c>
      <c r="H72" s="45">
        <f t="shared" si="4"/>
        <v>0</v>
      </c>
      <c r="I72" s="45">
        <f t="shared" si="4"/>
        <v>0</v>
      </c>
      <c r="J72" s="47">
        <f t="shared" si="4"/>
        <v>0</v>
      </c>
    </row>
    <row r="73" spans="1:10" ht="17.25" thickBot="1">
      <c r="A73" s="132" t="s">
        <v>151</v>
      </c>
      <c r="B73" s="133"/>
      <c r="C73" s="134"/>
      <c r="D73" s="134"/>
      <c r="E73" s="134"/>
      <c r="F73" s="134"/>
      <c r="G73" s="134"/>
      <c r="H73" s="134"/>
      <c r="I73" s="134"/>
      <c r="J73" s="49">
        <f>J68+J72</f>
        <v>40075</v>
      </c>
    </row>
  </sheetData>
  <mergeCells count="21">
    <mergeCell ref="A70:B71"/>
    <mergeCell ref="A72:C72"/>
    <mergeCell ref="A73:I73"/>
    <mergeCell ref="A63:J63"/>
    <mergeCell ref="A64:J64"/>
    <mergeCell ref="A65:B65"/>
    <mergeCell ref="A66:B67"/>
    <mergeCell ref="A68:C68"/>
    <mergeCell ref="A69:C69"/>
    <mergeCell ref="C61:D61"/>
    <mergeCell ref="C1:I1"/>
    <mergeCell ref="C2:I2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9FEB-448E-426F-A23B-2E5B60D4E9F3}">
  <dimension ref="A1:G60"/>
  <sheetViews>
    <sheetView rightToLeft="1" topLeftCell="A55" zoomScale="70" zoomScaleNormal="70" workbookViewId="0">
      <selection activeCell="C72" sqref="C72"/>
    </sheetView>
  </sheetViews>
  <sheetFormatPr defaultRowHeight="15"/>
  <cols>
    <col min="1" max="1" width="31.85546875" customWidth="1"/>
    <col min="2" max="2" width="29.85546875" customWidth="1"/>
    <col min="3" max="3" width="82.85546875" customWidth="1"/>
    <col min="4" max="4" width="49.85546875" customWidth="1"/>
    <col min="5" max="5" width="16.42578125" bestFit="1" customWidth="1"/>
    <col min="6" max="6" width="15.28515625" bestFit="1" customWidth="1"/>
    <col min="7" max="7" width="13.7109375" bestFit="1" customWidth="1"/>
  </cols>
  <sheetData>
    <row r="1" spans="1:7" ht="23.25">
      <c r="A1" s="145" t="s">
        <v>152</v>
      </c>
      <c r="B1" s="146"/>
      <c r="C1" s="146"/>
      <c r="D1" s="147"/>
    </row>
    <row r="2" spans="1:7" ht="23.25">
      <c r="A2" s="148" t="s">
        <v>153</v>
      </c>
      <c r="B2" s="149"/>
      <c r="C2" s="149"/>
      <c r="D2" s="150"/>
    </row>
    <row r="3" spans="1:7" ht="25.5">
      <c r="A3" s="151" t="s">
        <v>69</v>
      </c>
      <c r="B3" s="152"/>
      <c r="C3" s="50" t="s">
        <v>67</v>
      </c>
      <c r="D3" s="51">
        <v>283400000</v>
      </c>
    </row>
    <row r="4" spans="1:7" ht="25.5">
      <c r="A4" s="151" t="s">
        <v>71</v>
      </c>
      <c r="B4" s="152"/>
      <c r="C4" s="50" t="s">
        <v>67</v>
      </c>
      <c r="D4" s="51">
        <v>220725000</v>
      </c>
    </row>
    <row r="5" spans="1:7" ht="24" thickBot="1">
      <c r="A5" s="148" t="s">
        <v>154</v>
      </c>
      <c r="B5" s="149"/>
      <c r="C5" s="149"/>
      <c r="D5" s="52">
        <f>SUM(D3:D4)</f>
        <v>504125000</v>
      </c>
    </row>
    <row r="6" spans="1:7" ht="18">
      <c r="A6" s="155" t="s">
        <v>155</v>
      </c>
      <c r="B6" s="156"/>
      <c r="C6" s="156"/>
      <c r="D6" s="157"/>
    </row>
    <row r="7" spans="1:7" ht="20.25">
      <c r="A7" s="158" t="s">
        <v>156</v>
      </c>
      <c r="B7" s="159"/>
      <c r="C7" s="159"/>
      <c r="D7" s="53">
        <v>30800000000</v>
      </c>
    </row>
    <row r="8" spans="1:7" ht="18">
      <c r="A8" s="54" t="s">
        <v>157</v>
      </c>
      <c r="B8" s="160" t="s">
        <v>158</v>
      </c>
      <c r="C8" s="160"/>
      <c r="D8" s="55">
        <f>(7600*5500000)*25%+(6400*250000)*25%+(1600*5900000)*25%+(2800*941428.5714)*25%+(1107*8320000)*25%+(1107*1640000)*25%+8038750000+(2392*9960000)*25%+179740000</f>
        <v>30799999999.98</v>
      </c>
    </row>
    <row r="9" spans="1:7" ht="18">
      <c r="A9" s="54" t="s">
        <v>159</v>
      </c>
      <c r="B9" s="160" t="s">
        <v>160</v>
      </c>
      <c r="C9" s="160"/>
      <c r="D9" s="55">
        <f>(0*5500000)*25%+(0*5900000)*25%+(0*9960000)*25%</f>
        <v>0</v>
      </c>
    </row>
    <row r="10" spans="1:7" ht="18">
      <c r="A10" s="161" t="s">
        <v>161</v>
      </c>
      <c r="B10" s="162"/>
      <c r="C10" s="162"/>
      <c r="D10" s="56">
        <f>D7-D8-D9</f>
        <v>2.0000457763671875E-2</v>
      </c>
    </row>
    <row r="11" spans="1:7" ht="20.25">
      <c r="A11" s="158" t="s">
        <v>162</v>
      </c>
      <c r="B11" s="159"/>
      <c r="C11" s="159"/>
      <c r="D11" s="53">
        <v>109591000000</v>
      </c>
    </row>
    <row r="12" spans="1:7" ht="18">
      <c r="A12" s="54" t="s">
        <v>157</v>
      </c>
      <c r="B12" s="160" t="s">
        <v>163</v>
      </c>
      <c r="C12" s="160"/>
      <c r="D12" s="55">
        <f>(30000*6200000)*25%+(17213*6800000)*25%+(20400*454901.9608)*25%+(6400*1150000)*25%+(5200*7800000)*25%+(12413*2900000)*25%+(2337*9700000)*25%+(620*9700000)*25%</f>
        <v>106232250000.08</v>
      </c>
    </row>
    <row r="13" spans="1:7" ht="18">
      <c r="A13" s="54" t="s">
        <v>159</v>
      </c>
      <c r="B13" s="160" t="s">
        <v>164</v>
      </c>
      <c r="C13" s="160"/>
      <c r="D13" s="55">
        <v>0</v>
      </c>
    </row>
    <row r="14" spans="1:7" ht="18">
      <c r="A14" s="153" t="s">
        <v>161</v>
      </c>
      <c r="B14" s="154"/>
      <c r="C14" s="154"/>
      <c r="D14" s="56">
        <v>0</v>
      </c>
    </row>
    <row r="15" spans="1:7" ht="24.95" customHeight="1">
      <c r="A15" s="163" t="s">
        <v>157</v>
      </c>
      <c r="B15" s="165" t="s">
        <v>165</v>
      </c>
      <c r="C15" s="165"/>
      <c r="D15" s="57">
        <f>(4800*6100000)*109%-E17-21429910000+(10386*6100000)*75%+(10386*6100000)*9%-9021290000-9638000000-7710400000-13430553000-3855200000-1927600000+(13587*200000)*75%+(13587*200000)*9%-13298000-1927600000-1957146000-3855200000-176302000-1927600000+(1599*200000)*75%+(1599*200000)*9%+(1200*6300000)*75%+(1200*6300000)*9%-1927600000-1922781000-1927600000-2243442000-1990800000-1360800000+(2001*6300000)*50%+(2001*6300000)*9%-1990800000-620800000-2846400000-731250000+620800000+126000000+(1200*6300000)*109%-4000000000-1248152000-2000000000-1090000000-1241600000+(1200*6300000)*109%-120800000-620800000-2030800000-2620800000-2620800000+(30000*6200000)*75%+(30000*6200000)*9%-23510400000+(8000*357000)*109%-(1*6200000)*109%-15673600000-27428800000-2970240000+6448000-7836800000-13714400000-33306400000+(20400*454901.9608)*75%+(20400*454901.9608)*9%-25469600000+(17213*6800000)*75%+(17213*6800000)*9%-7331200000-4297600000-21488000000-42970628000-12892800000+(6400*1150000)*75%+(6400*1150000)*9%+(2800*941428.5714)*75%+(2800*941428.5714)*9%-6521608000+(5200*7800000)*75%+(5200*7800000)*9%+(12413*2900000)*75%+(12413*2900000)*9%-65280623000+(7657*9700000)*75%+(7657*9700000)*9%-7394400000-17908431000-40767160000+(12856*2768512.7567)*100%+(12856*2768512.7567)*9%+(620*9700000)*100%+(620*9700000)*9%-(1*9700000)*100%-(1*9700000)*9%+(5600*11700000)*100%+(5600*11700000)*9%-6254560000-37005592000-38937600000</f>
        <v>29203200000.330215</v>
      </c>
      <c r="E15" s="79">
        <f>(12000*5303000)*5%+(10898*5303000)*5%+(4087*5303000)*5%</f>
        <v>7155072750</v>
      </c>
      <c r="F15" s="73">
        <f>14572*5530000*5%</f>
        <v>4029158000</v>
      </c>
      <c r="G15" s="73">
        <f>4800*5200000*5%</f>
        <v>1248000000</v>
      </c>
    </row>
    <row r="16" spans="1:7" ht="21">
      <c r="A16" s="164"/>
      <c r="B16" s="165" t="s">
        <v>166</v>
      </c>
      <c r="C16" s="165"/>
      <c r="D16" s="58">
        <f>(4798*5200000)*109%-E18-11180624000-9776000000+(5200*5200000)*75%+(5200*5200000)*9%-4990960000-6572800000-6572800000-3286400000-4929600000+(6000*200000)*75%+(6000*200000)*9%-948000000+(1600*5200000)*109%-6489600000-2163200000+(7600*5500000)*75%+(7600*5500000)*9%-5214000000-10428000000-5214000000-5214000000+(6400*250000)*75%+(6400*250000)*9%-6952000000+(1600*5900000)*75%+(1600*5900000)*9%-1264000000-7457600000+(1107*8320000)*75%+(1107*8320000)*9%-7276089600+(1107*1640000)*75%+(1107*1640000)*9%+(2392*9960000)*75%+(2392*9960000)*9%-1434229200-12534361200-179740000+(1198*9960000)*100%+(1198*9960000)*9%</f>
        <v>18516474800.000004</v>
      </c>
      <c r="E16" s="80">
        <f>(0*4700000)*5%+(405*4747000)*5%</f>
        <v>96126750</v>
      </c>
      <c r="F16" s="81">
        <f>9989*6100000*5%</f>
        <v>3046645000</v>
      </c>
      <c r="G16" s="82"/>
    </row>
    <row r="17" spans="1:7" ht="21">
      <c r="A17" s="166" t="s">
        <v>159</v>
      </c>
      <c r="B17" s="165" t="s">
        <v>167</v>
      </c>
      <c r="C17" s="165"/>
      <c r="D17" s="59">
        <f>(0*6200000)*75%+(0*6200000)*9%-F17+(0*7800000)*75%+(0*7800000)*9%+(400*11700000)*100%+(400*11700000)*9%</f>
        <v>4867200000</v>
      </c>
      <c r="E17" s="80">
        <f>15186*6100000*5%+13587*200000*5%+1599*200000*5%+6001*6300000*5%+30000*6200000*5%+8000*357000*5%-1*6200000*5%+20400*454901.9608*5%+17213*6800000*5%+6400*1150000*5%+2800*941428.5714*5%+5200*7800000*5%+12413*2900000*5%+7657*9700000*5%+12856*2768512.7567*5%+620*9700000*5%-1*9700000*5%+5600*11700000*5%</f>
        <v>35829960000.018753</v>
      </c>
      <c r="F17" s="81">
        <f>0*6200000*5%+0*7800000*5%+400*11700000*5%</f>
        <v>234000000</v>
      </c>
      <c r="G17" s="82"/>
    </row>
    <row r="18" spans="1:7" ht="21">
      <c r="A18" s="166"/>
      <c r="B18" s="165" t="s">
        <v>168</v>
      </c>
      <c r="C18" s="165"/>
      <c r="D18" s="58">
        <f>(399*9960000)*100%+(399*9960000)*9%-F18+(0*5900000)*75%+(0*5900000)*9%</f>
        <v>4133001600</v>
      </c>
      <c r="E18" s="80">
        <f>11598*5200000*5%+6000*200000*5%+7600*5500000*5%+6400*250000*5%+1600*5900000*5%+1107*8320000*5%+1107*1640000*5%+3590*9960000*5%</f>
        <v>8056586000</v>
      </c>
      <c r="F18" s="81">
        <f>0*5500000*5%+0*5900000*5%+399*9960000*5%</f>
        <v>198702000</v>
      </c>
      <c r="G18" s="82"/>
    </row>
    <row r="19" spans="1:7" ht="20.25">
      <c r="A19" s="173" t="s">
        <v>169</v>
      </c>
      <c r="B19" s="174"/>
      <c r="C19" s="174"/>
      <c r="D19" s="59">
        <f>(100*4270000)*5%+(7059*4500000)*5%+(100*3560000)*5%+(3200*3870000)*5%+(2800*4950000)*5%+(8000*6300000)*5%+(7600*5400000)*5%+(23994*5764000)*5%+(8771*4910000)*5%+(21650*5579000)*5%+(2395*4700000)*5%+(2000*4447000)*5%+(0*5303000)*5%+E15+E17-12965014600+F15+E16-13843554200+G15+F16+E18+F18+F17-5022125000-5431192700-610000-2660162800-7202000-7470980000-1692805000</f>
        <v>34427373000.018753</v>
      </c>
    </row>
    <row r="20" spans="1:7" ht="18">
      <c r="A20" s="153" t="s">
        <v>170</v>
      </c>
      <c r="B20" s="154"/>
      <c r="C20" s="154"/>
      <c r="D20" s="56">
        <f>SUM(D15:D19)</f>
        <v>91147249400.348969</v>
      </c>
    </row>
    <row r="21" spans="1:7" ht="18">
      <c r="A21" s="175" t="s">
        <v>171</v>
      </c>
      <c r="B21" s="176"/>
      <c r="C21" s="176"/>
      <c r="D21" s="177"/>
    </row>
    <row r="22" spans="1:7" ht="18">
      <c r="A22" s="60" t="s">
        <v>157</v>
      </c>
      <c r="B22" s="178" t="s">
        <v>172</v>
      </c>
      <c r="C22" s="178"/>
      <c r="D22" s="61">
        <f>(800*13500000)*109%</f>
        <v>11772000000</v>
      </c>
    </row>
    <row r="23" spans="1:7" ht="18.75" thickBot="1">
      <c r="A23" s="171" t="s">
        <v>174</v>
      </c>
      <c r="B23" s="172"/>
      <c r="C23" s="172"/>
      <c r="D23" s="56">
        <f>SUM(D22:D22)</f>
        <v>11772000000</v>
      </c>
    </row>
    <row r="24" spans="1:7" ht="18">
      <c r="A24" s="155" t="s">
        <v>176</v>
      </c>
      <c r="B24" s="156"/>
      <c r="C24" s="156"/>
      <c r="D24" s="157"/>
    </row>
    <row r="25" spans="1:7" ht="18">
      <c r="A25" s="54" t="s">
        <v>157</v>
      </c>
      <c r="B25" s="170" t="s">
        <v>177</v>
      </c>
      <c r="C25" s="170"/>
      <c r="D25" s="63">
        <f>(11598*5950000)*109%-(11598*5950000)*5%+(10000*6450000)*109%+(44798*6350000)*109%+(16400*6400000)*109%+(30000*6150000)*109%-(16400*6400000)*7.8%-(30000*6150000)*7.8%-7772160000-(30000*6150000)*5%+(6400*7572000)*109%-(6400*7572000)*7.8%-(6400*7572000)*5%-4733040000+(6000*12500000)*109%-(6000*12500000)*7.8%-(6000*12500000)*5%</f>
        <v>842115390600</v>
      </c>
    </row>
    <row r="26" spans="1:7" ht="18">
      <c r="A26" s="64" t="s">
        <v>159</v>
      </c>
      <c r="B26" s="170" t="s">
        <v>178</v>
      </c>
      <c r="C26" s="170"/>
      <c r="D26" s="63">
        <f>(0*12500000)*109%-(0*12500000)*7.8%-(0*12500000)*5%</f>
        <v>0</v>
      </c>
    </row>
    <row r="27" spans="1:7" ht="18">
      <c r="A27" s="179" t="s">
        <v>173</v>
      </c>
      <c r="B27" s="180"/>
      <c r="C27" s="180"/>
      <c r="D27" s="63">
        <f>9900800000+7425600000+14838824000+12376000000+14851200000+12376000000+20000000000+20000000000+20000000000+20000000000+23528200000+16611600000+16604678500+8917400000+8000000000+8000000000+8305800000+5537200000+11074400000+15372000000+20000000000+13843000000+8305800000+20000000000+35991800000+5530278500+11074400000+16611600000+30454600000+16611600000+23316480000+15544320000+23316480000+20725760000+15544320000+40230840000+14199120000+37864320000+4733040000+9466080000+14199120000+9466080000+11832600000+11832600000+11832600000+7099560000+14568528000+32050761600+28860000000+19240000000+4810000000</f>
        <v>822875390600</v>
      </c>
    </row>
    <row r="28" spans="1:7" ht="18">
      <c r="A28" s="179" t="s">
        <v>179</v>
      </c>
      <c r="B28" s="180"/>
      <c r="C28" s="180"/>
      <c r="D28" s="63">
        <f>(30000*6150000)*5%+(6400*7572000)*5%-6765000000+(6000*12500000)*5%</f>
        <v>8633040000</v>
      </c>
    </row>
    <row r="29" spans="1:7" ht="18">
      <c r="A29" s="179" t="s">
        <v>180</v>
      </c>
      <c r="B29" s="180"/>
      <c r="C29" s="180"/>
      <c r="D29" s="63">
        <f>(2000*5950000)*5%+(16400*6400000)*7.8%+(30000*6150000)*7.8%-595000000-4592640000-3594240000+(6400*7572000)*7.8%-10553400000+(6000*12500000)*7.8%-7617542400</f>
        <v>5850000000</v>
      </c>
    </row>
    <row r="30" spans="1:7" ht="18.75" thickBot="1">
      <c r="A30" s="181" t="s">
        <v>174</v>
      </c>
      <c r="B30" s="182"/>
      <c r="C30" s="182"/>
      <c r="D30" s="65">
        <f>D25+D26-D27+D28+D29</f>
        <v>33723040000</v>
      </c>
    </row>
    <row r="31" spans="1:7" ht="18">
      <c r="A31" s="167" t="s">
        <v>181</v>
      </c>
      <c r="B31" s="168"/>
      <c r="C31" s="168"/>
      <c r="D31" s="169"/>
    </row>
    <row r="32" spans="1:7" ht="18">
      <c r="A32" s="66" t="s">
        <v>157</v>
      </c>
      <c r="B32" s="183" t="s">
        <v>182</v>
      </c>
      <c r="C32" s="183"/>
      <c r="D32" s="67">
        <f>(2398*6117222)*109%+(6399*6120000)*109%-15255862290-(2398*6117222)*5%-(6399*6120000)*5%+(399*300000)*109%+(3599*400000)*109%+(4799*600000)*109%-(399*300000)*5%-(3599*400000)*5%-(4799*600000)*5%-10183680000-35160923200</f>
        <v>0.23999786376953125</v>
      </c>
    </row>
    <row r="33" spans="1:4" ht="18">
      <c r="A33" s="66" t="s">
        <v>159</v>
      </c>
      <c r="B33" s="183" t="s">
        <v>183</v>
      </c>
      <c r="C33" s="183"/>
      <c r="D33" s="67">
        <f>(0*6120000)*109%-(0*6120000)*5%</f>
        <v>0</v>
      </c>
    </row>
    <row r="34" spans="1:4" ht="18">
      <c r="A34" s="184" t="s">
        <v>184</v>
      </c>
      <c r="B34" s="170"/>
      <c r="C34" s="170"/>
      <c r="D34" s="57">
        <v>0</v>
      </c>
    </row>
    <row r="35" spans="1:4" ht="18.75" thickBot="1">
      <c r="A35" s="185" t="s">
        <v>175</v>
      </c>
      <c r="B35" s="186"/>
      <c r="C35" s="186"/>
      <c r="D35" s="62">
        <f>SUM(D32:D33)+D34</f>
        <v>0.23999786376953125</v>
      </c>
    </row>
    <row r="36" spans="1:4" ht="18">
      <c r="A36" s="167" t="s">
        <v>185</v>
      </c>
      <c r="B36" s="168"/>
      <c r="C36" s="168"/>
      <c r="D36" s="169"/>
    </row>
    <row r="37" spans="1:4" ht="18">
      <c r="A37" s="54" t="s">
        <v>157</v>
      </c>
      <c r="B37" s="183" t="s">
        <v>186</v>
      </c>
      <c r="C37" s="183"/>
      <c r="D37" s="67">
        <f>(336*11900000)*109%</f>
        <v>4358256000</v>
      </c>
    </row>
    <row r="38" spans="1:4" ht="18.75" thickBot="1">
      <c r="A38" s="187" t="s">
        <v>175</v>
      </c>
      <c r="B38" s="188"/>
      <c r="C38" s="188"/>
      <c r="D38" s="65">
        <f>D37</f>
        <v>4358256000</v>
      </c>
    </row>
    <row r="39" spans="1:4" ht="18">
      <c r="A39" s="189" t="s">
        <v>187</v>
      </c>
      <c r="B39" s="190"/>
      <c r="C39" s="190"/>
      <c r="D39" s="191"/>
    </row>
    <row r="40" spans="1:4" ht="20.25">
      <c r="A40" s="68" t="s">
        <v>188</v>
      </c>
      <c r="B40" s="170" t="s">
        <v>189</v>
      </c>
      <c r="C40" s="170"/>
      <c r="D40" s="69">
        <f>(23597*12000000)*92.22%+(23597*12000000)*9%</f>
        <v>286618600800</v>
      </c>
    </row>
    <row r="41" spans="1:4" ht="20.25">
      <c r="A41" s="68" t="s">
        <v>190</v>
      </c>
      <c r="B41" s="170" t="s">
        <v>191</v>
      </c>
      <c r="C41" s="170"/>
      <c r="D41" s="69">
        <f>(800*12000000)*92.22%+(800*12000000)*9%</f>
        <v>9717120000</v>
      </c>
    </row>
    <row r="42" spans="1:4" ht="20.25">
      <c r="A42" s="179" t="s">
        <v>180</v>
      </c>
      <c r="B42" s="180"/>
      <c r="C42" s="180"/>
      <c r="D42" s="70">
        <f>(71*5950000)*7.78%+(24397*12000000)*7.78%</f>
        <v>22809905810.000004</v>
      </c>
    </row>
    <row r="43" spans="1:4" ht="21" thickBot="1">
      <c r="A43" s="179" t="s">
        <v>192</v>
      </c>
      <c r="B43" s="180"/>
      <c r="C43" s="180"/>
      <c r="D43" s="70">
        <f>D40+D42+D41</f>
        <v>319145626610</v>
      </c>
    </row>
    <row r="44" spans="1:4" ht="18">
      <c r="A44" s="189" t="s">
        <v>193</v>
      </c>
      <c r="B44" s="190"/>
      <c r="C44" s="190"/>
      <c r="D44" s="191"/>
    </row>
    <row r="45" spans="1:4" ht="20.25">
      <c r="A45" s="68" t="s">
        <v>194</v>
      </c>
      <c r="B45" s="170" t="s">
        <v>195</v>
      </c>
      <c r="C45" s="170"/>
      <c r="D45" s="69">
        <f>(1600*6680000)*92.22%+(1600*6680000)*9%+(71*5950000)*92.22%+(71*5950000)*9%-11000000000-245997490+(2000*13000000)*92.22%+(2000*13000000)*9%</f>
        <v>26317200000</v>
      </c>
    </row>
    <row r="46" spans="1:4" ht="20.25">
      <c r="A46" s="68" t="s">
        <v>196</v>
      </c>
      <c r="B46" s="170" t="s">
        <v>197</v>
      </c>
      <c r="C46" s="170"/>
      <c r="D46" s="69">
        <f>(0*13000000)*92.22%+(0*13000000)*9%</f>
        <v>0</v>
      </c>
    </row>
    <row r="47" spans="1:4" ht="20.25">
      <c r="A47" s="179" t="s">
        <v>180</v>
      </c>
      <c r="B47" s="180"/>
      <c r="C47" s="180"/>
      <c r="D47" s="69">
        <f>(1600*6680000)*7.78%+(2000*13000000)*7.78%</f>
        <v>2854326400.0000005</v>
      </c>
    </row>
    <row r="48" spans="1:4" ht="27.95" customHeight="1" thickBot="1">
      <c r="A48" s="179" t="s">
        <v>198</v>
      </c>
      <c r="B48" s="180"/>
      <c r="C48" s="180"/>
      <c r="D48" s="69">
        <f>D45+D47+D46</f>
        <v>29171526400</v>
      </c>
    </row>
    <row r="49" spans="1:4" ht="20.25">
      <c r="A49" s="179" t="s">
        <v>199</v>
      </c>
      <c r="B49" s="180"/>
      <c r="C49" s="180"/>
      <c r="D49" s="71">
        <f>D43+D48</f>
        <v>348317153010</v>
      </c>
    </row>
    <row r="50" spans="1:4" ht="20.25">
      <c r="A50" s="195" t="s">
        <v>200</v>
      </c>
      <c r="B50" s="196"/>
      <c r="C50" s="197"/>
      <c r="D50" s="71">
        <f>60000000000+45000000000+130000000000</f>
        <v>235000000000</v>
      </c>
    </row>
    <row r="51" spans="1:4" ht="18.75" thickBot="1">
      <c r="A51" s="187" t="s">
        <v>201</v>
      </c>
      <c r="B51" s="188"/>
      <c r="C51" s="188"/>
      <c r="D51" s="65">
        <f>D49-D50</f>
        <v>113317153010</v>
      </c>
    </row>
    <row r="52" spans="1:4" ht="18">
      <c r="A52" s="192" t="s">
        <v>203</v>
      </c>
      <c r="B52" s="193"/>
      <c r="C52" s="193"/>
      <c r="D52" s="194"/>
    </row>
    <row r="53" spans="1:4" ht="20.25">
      <c r="A53" s="54" t="s">
        <v>157</v>
      </c>
      <c r="B53" s="204" t="s">
        <v>204</v>
      </c>
      <c r="C53" s="204"/>
      <c r="D53" s="72">
        <f>(4790*6400000)*109%-(4790*6400000)*7.8%+(8000*6200000)*109%-(8000*6200000)*7.8%+(4798*6080000)*109%-(0*6080000)*7.8%+(32400*6580000)*109%-(12400*6580000)*7.8%+(33397*7450000)*109%-(33397*7450000)*7.8%+(4000*5000)*109%+(4800*3419360)*109%-(4800*3419360)*7.8%+(4600*4463060)*109%-(4600*4463060)*7.8%+(6000*5362630)*109%-(6000*5362630)*7.8%+(4400*4120130)*109%-(4400*4120130)*7.8%+(3200*4005820)*109%-(3200*4005820)*7.8%</f>
        <v>692113395160.00012</v>
      </c>
    </row>
    <row r="54" spans="1:4" ht="20.25">
      <c r="A54" s="54" t="s">
        <v>159</v>
      </c>
      <c r="B54" s="204" t="s">
        <v>205</v>
      </c>
      <c r="C54" s="204"/>
      <c r="D54" s="72">
        <f>(0*6080000)*109%-(0*6080000)*7.8%+(0*6580000)*109%-(0*6580000)*7.8%+(1200*7450000)*109%-(1200*7450000)*7.8%</f>
        <v>9047280000</v>
      </c>
    </row>
    <row r="55" spans="1:4" ht="20.25">
      <c r="A55" s="205" t="s">
        <v>173</v>
      </c>
      <c r="B55" s="206"/>
      <c r="C55" s="206"/>
      <c r="D55" s="72">
        <f>10298112000+10362880000+10039040000+10039040000+10039040000+10039040000+10039040000+10362880000+32000000000+11475520000+11475520000+37295440000+11475520000+34426560000+37295440000+31797305600+34626592000+70000000000+60000000000+30000000000+58442591000+38737482140+32213800000+26234174820+30813200000+17040857680</f>
        <v>686569075240</v>
      </c>
    </row>
    <row r="56" spans="1:4" ht="20.25">
      <c r="A56" s="179" t="s">
        <v>180</v>
      </c>
      <c r="B56" s="180"/>
      <c r="C56" s="180"/>
      <c r="D56" s="72">
        <f>(1600*6200000)*7.8%+(12400*6580000)*7.8%+(34597*7450000)*7.8%+(4800*3419360)*7.8%+(4600*4463060)*7.8%+(6000*5362630)*7.8%+(4400*4120130)*7.8%+(3200*4005820)*7.8%</f>
        <v>35047399140</v>
      </c>
    </row>
    <row r="57" spans="1:4" ht="18.75" thickBot="1">
      <c r="A57" s="207" t="s">
        <v>170</v>
      </c>
      <c r="B57" s="208"/>
      <c r="C57" s="208"/>
      <c r="D57" s="74">
        <f>SUM(D53:D54)-D55+D56</f>
        <v>49638999060.000122</v>
      </c>
    </row>
    <row r="58" spans="1:4" ht="20.25">
      <c r="A58" s="198" t="s">
        <v>206</v>
      </c>
      <c r="B58" s="199"/>
      <c r="C58" s="199"/>
      <c r="D58" s="75">
        <f>D20+D23+D30+D38+D51+D57</f>
        <v>303956697470.34912</v>
      </c>
    </row>
    <row r="59" spans="1:4" ht="20.25">
      <c r="A59" s="200" t="s">
        <v>207</v>
      </c>
      <c r="B59" s="201"/>
      <c r="C59" s="201"/>
      <c r="D59" s="76">
        <v>0</v>
      </c>
    </row>
    <row r="60" spans="1:4" ht="24" thickBot="1">
      <c r="A60" s="202" t="s">
        <v>208</v>
      </c>
      <c r="B60" s="203"/>
      <c r="C60" s="203"/>
      <c r="D60" s="77">
        <f>D58-D59</f>
        <v>303956697470.34912</v>
      </c>
    </row>
  </sheetData>
  <mergeCells count="62">
    <mergeCell ref="A58:C58"/>
    <mergeCell ref="A59:C59"/>
    <mergeCell ref="A60:C60"/>
    <mergeCell ref="B53:C53"/>
    <mergeCell ref="B54:C54"/>
    <mergeCell ref="A55:C55"/>
    <mergeCell ref="A56:C56"/>
    <mergeCell ref="A57:C57"/>
    <mergeCell ref="A52:D52"/>
    <mergeCell ref="A50:C50"/>
    <mergeCell ref="A51:C51"/>
    <mergeCell ref="A44:D44"/>
    <mergeCell ref="B45:C45"/>
    <mergeCell ref="B46:C46"/>
    <mergeCell ref="A47:C47"/>
    <mergeCell ref="A48:C48"/>
    <mergeCell ref="A49:C49"/>
    <mergeCell ref="A43:C43"/>
    <mergeCell ref="A36:D36"/>
    <mergeCell ref="B37:C37"/>
    <mergeCell ref="B32:C32"/>
    <mergeCell ref="B33:C33"/>
    <mergeCell ref="A34:C34"/>
    <mergeCell ref="A35:C35"/>
    <mergeCell ref="A38:C38"/>
    <mergeCell ref="A39:D39"/>
    <mergeCell ref="B40:C40"/>
    <mergeCell ref="B41:C41"/>
    <mergeCell ref="A42:C42"/>
    <mergeCell ref="A31:D31"/>
    <mergeCell ref="A24:D24"/>
    <mergeCell ref="B25:C25"/>
    <mergeCell ref="A23:C23"/>
    <mergeCell ref="A19:C19"/>
    <mergeCell ref="A20:C20"/>
    <mergeCell ref="A21:D21"/>
    <mergeCell ref="B22:C22"/>
    <mergeCell ref="B26:C26"/>
    <mergeCell ref="A27:C27"/>
    <mergeCell ref="A28:C28"/>
    <mergeCell ref="A29:C29"/>
    <mergeCell ref="A30:C30"/>
    <mergeCell ref="A15:A16"/>
    <mergeCell ref="B15:C15"/>
    <mergeCell ref="B16:C16"/>
    <mergeCell ref="A17:A18"/>
    <mergeCell ref="B17:C17"/>
    <mergeCell ref="B18:C18"/>
    <mergeCell ref="A1:D1"/>
    <mergeCell ref="A2:D2"/>
    <mergeCell ref="A3:B3"/>
    <mergeCell ref="A4:B4"/>
    <mergeCell ref="A14:C14"/>
    <mergeCell ref="A5:C5"/>
    <mergeCell ref="A6:D6"/>
    <mergeCell ref="A7:C7"/>
    <mergeCell ref="B8:C8"/>
    <mergeCell ref="B9:C9"/>
    <mergeCell ref="A10:C10"/>
    <mergeCell ref="A11:C11"/>
    <mergeCell ref="B12:C12"/>
    <mergeCell ref="B13:C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5F18-6482-49D4-A08D-0197DD0DF5A9}">
  <dimension ref="A1:C59"/>
  <sheetViews>
    <sheetView rightToLeft="1" topLeftCell="A25" zoomScale="80" zoomScaleNormal="80" workbookViewId="0">
      <selection activeCell="A14" sqref="A14:B14"/>
    </sheetView>
  </sheetViews>
  <sheetFormatPr defaultRowHeight="15"/>
  <cols>
    <col min="1" max="1" width="41.7109375" customWidth="1"/>
    <col min="2" max="2" width="40.140625" customWidth="1"/>
    <col min="3" max="3" width="44.85546875" customWidth="1"/>
  </cols>
  <sheetData>
    <row r="1" spans="1:3" ht="18">
      <c r="A1" s="212" t="s">
        <v>209</v>
      </c>
      <c r="B1" s="213"/>
      <c r="C1" s="214"/>
    </row>
    <row r="2" spans="1:3" ht="16.5">
      <c r="A2" s="215" t="s">
        <v>126</v>
      </c>
      <c r="B2" s="78" t="s">
        <v>157</v>
      </c>
      <c r="C2" s="83">
        <f>(6786*6100000)*70%+(6786*6100000)*9%+(2000*5200000)*70%+(2000*5200000)*9%-3286400000-13430553000-3855200000-6857200000+(12387*200000)*70%+(12387*200000)*9%+(7200*200000)*70%+(7200*200000)*9%-13298000-1927600000-1957146000-948000000-3855200000-176302000-1927600000+(1599*200000)*70%+(1599*200000)*9%+(1200*6300000)*70%+(1200*6300000)*9%-1927600000-1922781000-1927600000-2243442000-1990800000-1360800000+(2001*6300000)*45%+(2001*6300000)*9%-1990800000+1153600000-620800000-4000000000-731250000+620800000+(1200*6300000)*95%+(1200*6300000)*9%-4000000000-620800000-627352000-2000000000-1090000000-1241600000+(1200*6300000)*109%-(1200*6300000)*5%-120800000-620800000+(1600*5200000)*109%-(1600*5200000)*5%-2030800000-9110400000-2620800000+(30000*6200000)*70%+(30000*6200000)*9%-23510400000-2163200000+(8000*357000)*109%-(8000*357000)*5%+(7600*5500000)*70%+(7600*5500000)*9%-(1*6200000)*109%+(1*6200000)*5%-15673600000-32642800000-2970240000-10421552000-7836800000-5214000000-13714400000-5214000000-33306400000+(20400*454901.9608)*70%+(20400*454901.9608)*9%+(6400*250000)*70%+(6400*250000)*9%-32421600000+(17213*6800000)*70%+(17213*6800000)*9%-7331200000+(1600*5900000)*70%+(1600*5900000)*9%-1264000000-4297600000-28945600000-42970628000-12892800000+(6400*1150000)*70%+(6400*1150000)*9%+(2800*941428.5714)*70%+(2800*941428.5714)*9%-6521608000+(5200*7800000)*70%+(5200*7800000)*9%+(12413*2900000)*70%+(12413*2900000)*9%+(1107*8320000)*70%+(1107*8320000)*9%-65280623000+(7657*9700000)*70%+(7657*9700000)*9%-7276089600-7394400000-17908431000-40767160000+(1107*1640000)*70%+(1107*1640000)*9%+(12856*2768512.7567)*95%+(12856*2768512.7567)*9%+(620*9700000)*95%+(620*9700000)*9%-(1*9700000)*95%-(1*9700000)*9%+(2392*9960000)*70%+(2392*9960000)*9%+(5600*11700000)*95%+(5600*11700000)*9%-6254560000-38439821200-51471961200+(1198*9960000)*95%+(1198*9960000)*9%-179740000</f>
        <v>47719674800.3302</v>
      </c>
    </row>
    <row r="3" spans="1:3" ht="16.5">
      <c r="A3" s="215"/>
      <c r="B3" s="78" t="s">
        <v>159</v>
      </c>
      <c r="C3" s="83">
        <f>(399*9960000)*95%+(399*9960000)*9%+(400*11700000)*95%+(400*11700000)*9%</f>
        <v>9000201600</v>
      </c>
    </row>
    <row r="4" spans="1:3" ht="18">
      <c r="A4" s="216" t="s">
        <v>210</v>
      </c>
      <c r="B4" s="217"/>
      <c r="C4" s="84">
        <f>SUM(C2:C3)</f>
        <v>56719876400.3302</v>
      </c>
    </row>
    <row r="5" spans="1:3" ht="16.5">
      <c r="A5" s="218" t="s">
        <v>127</v>
      </c>
      <c r="B5" s="78" t="s">
        <v>157</v>
      </c>
      <c r="C5" s="83">
        <f>(10000*6450000)*109%-20000000000+(44798*6350000)*109%-20000000000-20000000000-20000000000-23528200000-16611600000-16604678500-8917400000-8000000000-8000000000-8305800000-5537200000-11074400000-15372000000-20000000000-13843000000-8305800000-20000000000-35991800000+(16400*6400000)*109%-5530278500-11074400000-16611600000-30454600000-16611600000+(30000*6150000)*109%-(16400*6400000)*7.8%-(30000*6150000)*7.8%-23316480000-7772160000-15544320000-23316480000-20725760000-15544320000-40230840000-(30000*6150000)*5%-14199120000-37864320000-4733040000-9466080000-14199120000-9466080000-11832600000-11832600000-11832600000+(6400*7572000)*109%-(6400*7572000)*7.8%-(6400*7572000)*5%-4733040000-7099560000-14568528000-32050761600+(6000*12500000)*109%-(6000*12500000)*7.8%-(6000*12500000)*5%-28860000000-19240000000-4810000000</f>
        <v>19240000000</v>
      </c>
    </row>
    <row r="6" spans="1:3" ht="16.5">
      <c r="A6" s="218"/>
      <c r="B6" s="78" t="s">
        <v>159</v>
      </c>
      <c r="C6" s="83">
        <f>(0*12500000)*109%-(0*12500000)*7.8%-(0*12500000)*5%</f>
        <v>0</v>
      </c>
    </row>
    <row r="7" spans="1:3" ht="18">
      <c r="A7" s="219" t="s">
        <v>211</v>
      </c>
      <c r="B7" s="220"/>
      <c r="C7" s="84">
        <f>C5+C6</f>
        <v>19240000000</v>
      </c>
    </row>
    <row r="8" spans="1:3" ht="16.5">
      <c r="A8" s="209" t="s">
        <v>212</v>
      </c>
      <c r="B8" s="78" t="s">
        <v>157</v>
      </c>
      <c r="C8" s="83">
        <f>(1600*6680000)*92.22%+(1600*6680000)*9%+(71*5950000)*92.22%+(71*5950000)*9%-11000000000-245997490</f>
        <v>0</v>
      </c>
    </row>
    <row r="9" spans="1:3" ht="16.5">
      <c r="A9" s="210"/>
      <c r="B9" s="78" t="s">
        <v>157</v>
      </c>
      <c r="C9" s="83">
        <f>(0*6680000)*92.22%+(0*6680000)*9%+(0*5950000)*92.22%+(0*5950000)*9%+(2000*13000000)*92.22%+(2000*13000000)*9%+(23597*12000000)*92.22%+(23597*12000000)*9%-60000000000-45000000000-130000000000</f>
        <v>77935800800</v>
      </c>
    </row>
    <row r="10" spans="1:3" ht="16.5">
      <c r="A10" s="211"/>
      <c r="B10" s="78" t="s">
        <v>159</v>
      </c>
      <c r="C10" s="83">
        <f>(800*12000000)*92.22%+(800*12000000)*9%+(0*13000000)*92.22%+(0*13000000)*9%</f>
        <v>9717120000</v>
      </c>
    </row>
    <row r="11" spans="1:3" ht="18">
      <c r="A11" s="219" t="s">
        <v>213</v>
      </c>
      <c r="B11" s="220"/>
      <c r="C11" s="84">
        <f>SUM(C8:C10)</f>
        <v>87652920800</v>
      </c>
    </row>
    <row r="12" spans="1:3" ht="16.5">
      <c r="A12" s="223" t="s">
        <v>214</v>
      </c>
      <c r="B12" s="78" t="s">
        <v>157</v>
      </c>
      <c r="C12" s="83">
        <f>(336*11900000)*109%</f>
        <v>4358256000</v>
      </c>
    </row>
    <row r="13" spans="1:3" ht="16.5">
      <c r="A13" s="224"/>
      <c r="B13" s="85" t="s">
        <v>157</v>
      </c>
      <c r="C13" s="83">
        <f>(0*11900000)*109%</f>
        <v>0</v>
      </c>
    </row>
    <row r="14" spans="1:3" ht="18">
      <c r="A14" s="219" t="s">
        <v>215</v>
      </c>
      <c r="B14" s="220"/>
      <c r="C14" s="84">
        <f>SUM(C12:C13)</f>
        <v>4358256000</v>
      </c>
    </row>
    <row r="15" spans="1:3" ht="16.5">
      <c r="A15" s="223" t="s">
        <v>85</v>
      </c>
      <c r="B15" s="78" t="s">
        <v>157</v>
      </c>
      <c r="C15" s="83">
        <f>(800*13500000)*109%</f>
        <v>11772000000</v>
      </c>
    </row>
    <row r="16" spans="1:3" ht="16.5">
      <c r="A16" s="224"/>
      <c r="B16" s="78" t="s">
        <v>159</v>
      </c>
      <c r="C16" s="83">
        <f>(0*13500000)*109%</f>
        <v>0</v>
      </c>
    </row>
    <row r="17" spans="1:3" ht="18">
      <c r="A17" s="219" t="s">
        <v>216</v>
      </c>
      <c r="B17" s="220"/>
      <c r="C17" s="84">
        <f>SUM(C15:C16)</f>
        <v>11772000000</v>
      </c>
    </row>
    <row r="18" spans="1:3" ht="16.5">
      <c r="A18" s="223" t="s">
        <v>13</v>
      </c>
      <c r="B18" s="86" t="s">
        <v>157</v>
      </c>
      <c r="C18" s="83">
        <f>(4790*6400000)*109%-(4790*6400000)*7.8%+(8000*6200000)*109%-(8000*6200000)*7.8%+(4798*6080000)*109%-(0*6080000)*7.8%-10298112000-10362880000-10039040000-10039040000-10039040000-10039040000-10039040000-10362880000-32000000000+(32400*6580000)*109%-(12400*6580000)*7.8%-11475520000-11475520000-37295440000-11475520000-34426560000-37295440000-31797305600-34626592000+(33397*7450000)*109%-(33397*7450000)*7.8%-70000000000+(4000*5000)*109%-60000000000-30000000000+(4800*3419360)*109%-(4800*3419360)*7.8%-58442591000+(4600*4463060)*109%-(4600*4463060)*7.8%-38737482140+(6000*5362630)*109%-(6000*5362630)*7.8%-32213800000+(4400*4120130)*109%-(4400*4120130)*7.8%-26234174820+(3200*4005820)*109%-(3200*4005820)*7.8%-47854057680</f>
        <v>5544319920.0001221</v>
      </c>
    </row>
    <row r="19" spans="1:3" ht="16.5">
      <c r="A19" s="224"/>
      <c r="B19" s="86" t="s">
        <v>159</v>
      </c>
      <c r="C19" s="83">
        <f>(0*6580000)*109%-(0*6580000)*7.8%+(1200*7450000)*109%-(1200*7450000)*7.8%</f>
        <v>9047280000</v>
      </c>
    </row>
    <row r="20" spans="1:3" ht="18">
      <c r="A20" s="219" t="s">
        <v>217</v>
      </c>
      <c r="B20" s="220"/>
      <c r="C20" s="84">
        <f>SUM(C18:C19)</f>
        <v>14591599920.000122</v>
      </c>
    </row>
    <row r="21" spans="1:3" ht="16.5">
      <c r="A21" s="225" t="s">
        <v>218</v>
      </c>
      <c r="B21" s="86" t="s">
        <v>157</v>
      </c>
      <c r="C21" s="83">
        <v>0</v>
      </c>
    </row>
    <row r="22" spans="1:3" ht="16.5">
      <c r="A22" s="226"/>
      <c r="B22" s="85" t="s">
        <v>159</v>
      </c>
      <c r="C22" s="83">
        <f>(0*6267500)*109%-(0*6580000)*7.78%+(0*7137500)*109%-(0*7137500)*7.8%</f>
        <v>0</v>
      </c>
    </row>
    <row r="23" spans="1:3" ht="18">
      <c r="A23" s="219" t="s">
        <v>219</v>
      </c>
      <c r="B23" s="220"/>
      <c r="C23" s="84">
        <f>C21+C22</f>
        <v>0</v>
      </c>
    </row>
    <row r="24" spans="1:3">
      <c r="A24" s="221" t="s">
        <v>220</v>
      </c>
      <c r="B24" s="85" t="s">
        <v>157</v>
      </c>
      <c r="C24" s="87">
        <f>(0*6650000)*109%</f>
        <v>0</v>
      </c>
    </row>
    <row r="25" spans="1:3" ht="16.5">
      <c r="A25" s="222"/>
      <c r="B25" s="85" t="s">
        <v>159</v>
      </c>
      <c r="C25" s="83"/>
    </row>
    <row r="26" spans="1:3" ht="18">
      <c r="A26" s="219" t="s">
        <v>221</v>
      </c>
      <c r="B26" s="220"/>
      <c r="C26" s="84">
        <f>SUM(C24:C25)</f>
        <v>0</v>
      </c>
    </row>
    <row r="27" spans="1:3" ht="20.25">
      <c r="A27" s="221" t="s">
        <v>222</v>
      </c>
      <c r="B27" s="88" t="s">
        <v>157</v>
      </c>
      <c r="C27" s="89">
        <f>(0*6650000)*109%</f>
        <v>0</v>
      </c>
    </row>
    <row r="28" spans="1:3">
      <c r="A28" s="222"/>
      <c r="B28" s="88" t="s">
        <v>157</v>
      </c>
      <c r="C28" s="87">
        <f>(1*7000000)*109%+(1*6400000)*109%+(240*6300000)*109%-1662686000</f>
        <v>0</v>
      </c>
    </row>
    <row r="29" spans="1:3" ht="18">
      <c r="A29" s="219" t="s">
        <v>215</v>
      </c>
      <c r="B29" s="220"/>
      <c r="C29" s="84">
        <f>C28</f>
        <v>0</v>
      </c>
    </row>
    <row r="30" spans="1:3" ht="18">
      <c r="A30" s="90" t="s">
        <v>223</v>
      </c>
      <c r="B30" s="88" t="s">
        <v>157</v>
      </c>
      <c r="C30" s="83">
        <f>(0*6650000)*109%</f>
        <v>0</v>
      </c>
    </row>
    <row r="31" spans="1:3" ht="18">
      <c r="A31" s="219" t="s">
        <v>224</v>
      </c>
      <c r="B31" s="220"/>
      <c r="C31" s="84">
        <f>C30</f>
        <v>0</v>
      </c>
    </row>
    <row r="32" spans="1:3" ht="16.5">
      <c r="A32" s="223" t="s">
        <v>225</v>
      </c>
      <c r="B32" s="88" t="s">
        <v>157</v>
      </c>
      <c r="C32" s="83">
        <f>(400*9090000)*109%-3963240000</f>
        <v>0</v>
      </c>
    </row>
    <row r="33" spans="1:3" ht="16.5">
      <c r="A33" s="224"/>
      <c r="B33" s="88" t="s">
        <v>157</v>
      </c>
      <c r="C33" s="83">
        <f>(400*9090000)*109%-3963240000</f>
        <v>0</v>
      </c>
    </row>
    <row r="34" spans="1:3" ht="18">
      <c r="A34" s="219" t="s">
        <v>226</v>
      </c>
      <c r="B34" s="220"/>
      <c r="C34" s="84">
        <f>C32+C33</f>
        <v>0</v>
      </c>
    </row>
    <row r="35" spans="1:3" ht="16.5">
      <c r="A35" s="223" t="s">
        <v>227</v>
      </c>
      <c r="B35" s="86" t="s">
        <v>157</v>
      </c>
      <c r="C35" s="83">
        <f>(271*8500000)*109%+(120*9100000)*109%+(400*8700000)*109%+(600*10350000)*109%-4761120000-5000000000-7500000000+2997925000</f>
        <v>0</v>
      </c>
    </row>
    <row r="36" spans="1:3" ht="16.5">
      <c r="A36" s="224"/>
      <c r="B36" s="86" t="s">
        <v>157</v>
      </c>
      <c r="C36" s="83">
        <v>0</v>
      </c>
    </row>
    <row r="37" spans="1:3" ht="18">
      <c r="A37" s="219" t="s">
        <v>228</v>
      </c>
      <c r="B37" s="220"/>
      <c r="C37" s="84">
        <f>C36</f>
        <v>0</v>
      </c>
    </row>
    <row r="38" spans="1:3" ht="16.5">
      <c r="A38" s="223" t="s">
        <v>229</v>
      </c>
      <c r="B38" s="86" t="s">
        <v>157</v>
      </c>
      <c r="C38" s="83">
        <v>0</v>
      </c>
    </row>
    <row r="39" spans="1:3">
      <c r="A39" s="224"/>
      <c r="B39" s="85" t="s">
        <v>159</v>
      </c>
      <c r="C39" s="87"/>
    </row>
    <row r="40" spans="1:3" ht="18">
      <c r="A40" s="219" t="s">
        <v>230</v>
      </c>
      <c r="B40" s="220"/>
      <c r="C40" s="84">
        <f>C38+C39</f>
        <v>0</v>
      </c>
    </row>
    <row r="41" spans="1:3">
      <c r="A41" s="227" t="s">
        <v>231</v>
      </c>
      <c r="B41" s="91" t="s">
        <v>157</v>
      </c>
      <c r="C41" s="87">
        <v>0</v>
      </c>
    </row>
    <row r="42" spans="1:3" ht="16.5">
      <c r="A42" s="227"/>
      <c r="B42" s="91" t="s">
        <v>157</v>
      </c>
      <c r="C42" s="83">
        <f>(2398*6117222)*109%+(6399*6120000)*109%-15255862290-(2398*6117222)*5%-(6399*6120000)*5%+(399*300000)*109%+(3599*400000)*109%+(4799*600000)*109%-(399*300000)*5%-(3599*400000)*5%-(4799*600000)*5%-10183680000-35160923200</f>
        <v>0.23999786376953125</v>
      </c>
    </row>
    <row r="43" spans="1:3" ht="16.5">
      <c r="A43" s="227"/>
      <c r="B43" s="91" t="s">
        <v>159</v>
      </c>
      <c r="C43" s="83">
        <f>(0*6120000)*109%-(0*6120000)*5%</f>
        <v>0</v>
      </c>
    </row>
    <row r="44" spans="1:3" ht="18">
      <c r="A44" s="219" t="s">
        <v>232</v>
      </c>
      <c r="B44" s="220"/>
      <c r="C44" s="84">
        <f>C42+C43</f>
        <v>0.23999786376953125</v>
      </c>
    </row>
    <row r="45" spans="1:3" ht="16.5">
      <c r="A45" s="223" t="s">
        <v>225</v>
      </c>
      <c r="B45" s="86" t="s">
        <v>157</v>
      </c>
      <c r="C45" s="83">
        <f>(100*9090000)*109%-990810000</f>
        <v>0</v>
      </c>
    </row>
    <row r="46" spans="1:3">
      <c r="A46" s="224"/>
      <c r="B46" s="85" t="s">
        <v>157</v>
      </c>
      <c r="C46" s="87">
        <f>(1043*6440000)*109%+(400*5903750)*109%-3000000000-6895477800</f>
        <v>0</v>
      </c>
    </row>
    <row r="47" spans="1:3" ht="18">
      <c r="A47" s="219" t="s">
        <v>233</v>
      </c>
      <c r="B47" s="220"/>
      <c r="C47" s="84">
        <f>C45+C46</f>
        <v>0</v>
      </c>
    </row>
    <row r="48" spans="1:3" ht="18">
      <c r="A48" s="90" t="s">
        <v>234</v>
      </c>
      <c r="B48" s="86" t="s">
        <v>202</v>
      </c>
      <c r="C48" s="83">
        <f>(400*8050000)*109%-3509800000</f>
        <v>0</v>
      </c>
    </row>
    <row r="49" spans="1:3" ht="18">
      <c r="A49" s="219" t="s">
        <v>235</v>
      </c>
      <c r="B49" s="220"/>
      <c r="C49" s="84">
        <f>C48</f>
        <v>0</v>
      </c>
    </row>
    <row r="50" spans="1:3" ht="16.5">
      <c r="A50" s="223" t="s">
        <v>107</v>
      </c>
      <c r="B50" s="86" t="s">
        <v>202</v>
      </c>
      <c r="C50" s="83">
        <f>(2*6300000)*109%+(3*6600000)*109%+(2*6500000)*109%+(803*8700000)*109%-7652781000-11554000</f>
        <v>9.5367431640625E-7</v>
      </c>
    </row>
    <row r="51" spans="1:3" ht="16.5">
      <c r="A51" s="224"/>
      <c r="B51" s="86" t="s">
        <v>236</v>
      </c>
      <c r="C51" s="83">
        <v>0</v>
      </c>
    </row>
    <row r="52" spans="1:3" ht="18">
      <c r="A52" s="219" t="s">
        <v>237</v>
      </c>
      <c r="B52" s="220"/>
      <c r="C52" s="84">
        <f>C51+C50</f>
        <v>9.5367431640625E-7</v>
      </c>
    </row>
    <row r="53" spans="1:3" ht="18">
      <c r="A53" s="90" t="s">
        <v>116</v>
      </c>
      <c r="B53" s="86" t="s">
        <v>202</v>
      </c>
      <c r="C53" s="83">
        <f>(1200*9500000)*109%-12426000000</f>
        <v>0</v>
      </c>
    </row>
    <row r="54" spans="1:3" ht="18">
      <c r="A54" s="219" t="s">
        <v>224</v>
      </c>
      <c r="B54" s="220"/>
      <c r="C54" s="84">
        <f>C53</f>
        <v>0</v>
      </c>
    </row>
    <row r="55" spans="1:3" ht="18">
      <c r="A55" s="90" t="s">
        <v>87</v>
      </c>
      <c r="B55" s="86" t="s">
        <v>236</v>
      </c>
      <c r="C55" s="83">
        <f>(0*11900000)*109%</f>
        <v>0</v>
      </c>
    </row>
    <row r="56" spans="1:3" ht="18">
      <c r="A56" s="219" t="s">
        <v>238</v>
      </c>
      <c r="B56" s="220"/>
      <c r="C56" s="84">
        <f>C55</f>
        <v>0</v>
      </c>
    </row>
    <row r="57" spans="1:3" ht="18">
      <c r="A57" s="232" t="s">
        <v>239</v>
      </c>
      <c r="B57" s="233"/>
      <c r="C57" s="84">
        <f>C11+C4+C14+C29+C17+C37+C20+C52+C40+C54+C31+C26+C34+C49+C56+C44+C7+C47</f>
        <v>194334653120.57031</v>
      </c>
    </row>
    <row r="58" spans="1:3" ht="18">
      <c r="A58" s="228" t="s">
        <v>207</v>
      </c>
      <c r="B58" s="229"/>
      <c r="C58" s="92">
        <f>C23</f>
        <v>0</v>
      </c>
    </row>
    <row r="59" spans="1:3" ht="24" thickBot="1">
      <c r="A59" s="230" t="s">
        <v>240</v>
      </c>
      <c r="B59" s="231"/>
      <c r="C59" s="93">
        <f>C57-C58</f>
        <v>194334653120.57031</v>
      </c>
    </row>
  </sheetData>
  <mergeCells count="38">
    <mergeCell ref="A58:B58"/>
    <mergeCell ref="A59:B59"/>
    <mergeCell ref="A49:B49"/>
    <mergeCell ref="A50:A51"/>
    <mergeCell ref="A52:B52"/>
    <mergeCell ref="A54:B54"/>
    <mergeCell ref="A56:B56"/>
    <mergeCell ref="A57:B57"/>
    <mergeCell ref="A47:B47"/>
    <mergeCell ref="A29:B29"/>
    <mergeCell ref="A31:B31"/>
    <mergeCell ref="A32:A33"/>
    <mergeCell ref="A34:B34"/>
    <mergeCell ref="A35:A36"/>
    <mergeCell ref="A37:B37"/>
    <mergeCell ref="A38:A39"/>
    <mergeCell ref="A40:B40"/>
    <mergeCell ref="A41:A43"/>
    <mergeCell ref="A44:B44"/>
    <mergeCell ref="A45:A46"/>
    <mergeCell ref="A27:A28"/>
    <mergeCell ref="A11:B11"/>
    <mergeCell ref="A12:A13"/>
    <mergeCell ref="A14:B14"/>
    <mergeCell ref="A15:A16"/>
    <mergeCell ref="A17:B17"/>
    <mergeCell ref="A18:A19"/>
    <mergeCell ref="A20:B20"/>
    <mergeCell ref="A21:A22"/>
    <mergeCell ref="A23:B23"/>
    <mergeCell ref="A24:A25"/>
    <mergeCell ref="A26:B26"/>
    <mergeCell ref="A8:A10"/>
    <mergeCell ref="A1:C1"/>
    <mergeCell ref="A2:A3"/>
    <mergeCell ref="A4:B4"/>
    <mergeCell ref="A5:A6"/>
    <mergeCell ref="A7:B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ریز فروش</vt:lpstr>
      <vt:lpstr>customers</vt:lpstr>
      <vt:lpstr>Sheet3</vt:lpstr>
      <vt:lpstr>Sheet5</vt:lpstr>
      <vt:lpstr>reports</vt:lpstr>
      <vt:lpstr>فروش 1402</vt:lpstr>
      <vt:lpstr>مطالبات 1</vt:lpstr>
      <vt:lpstr>مطالبات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mehdi</cp:lastModifiedBy>
  <dcterms:created xsi:type="dcterms:W3CDTF">2015-06-05T18:17:20Z</dcterms:created>
  <dcterms:modified xsi:type="dcterms:W3CDTF">2023-05-09T03:20:46Z</dcterms:modified>
</cp:coreProperties>
</file>