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habibuniversity-my.sharepoint.com/personal/mk05198_st_habib_edu_pk/Documents/Academics-HU/Senior I/SupplyChain/HW/1/"/>
    </mc:Choice>
  </mc:AlternateContent>
  <bookViews>
    <workbookView xWindow="0" yWindow="0" windowWidth="16815" windowHeight="7620" activeTab="1"/>
  </bookViews>
  <sheets>
    <sheet name="Q1" sheetId="1" r:id="rId1"/>
    <sheet name="Q2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6" l="1"/>
  <c r="H29" i="6"/>
  <c r="H22" i="6"/>
  <c r="H19" i="6"/>
  <c r="H16" i="6"/>
  <c r="H13" i="6"/>
  <c r="H9" i="6"/>
  <c r="H8" i="6"/>
  <c r="H4" i="6"/>
  <c r="H25" i="6"/>
  <c r="F4" i="6"/>
  <c r="F9" i="6" s="1"/>
  <c r="F16" i="6"/>
  <c r="F19" i="6"/>
  <c r="F22" i="6"/>
  <c r="F29" i="6"/>
  <c r="F30" i="6"/>
  <c r="D30" i="6"/>
  <c r="D29" i="6"/>
  <c r="D25" i="6"/>
  <c r="D22" i="6"/>
  <c r="D19" i="6"/>
  <c r="D16" i="6"/>
  <c r="D13" i="6"/>
  <c r="D10" i="6"/>
  <c r="D4" i="6"/>
  <c r="D8" i="6" s="1"/>
  <c r="F8" i="6" l="1"/>
  <c r="F25" i="6"/>
  <c r="H32" i="6"/>
  <c r="F32" i="6"/>
  <c r="D32" i="6"/>
  <c r="G30" i="1"/>
  <c r="D30" i="1"/>
  <c r="G29" i="1"/>
  <c r="D29" i="1"/>
  <c r="G22" i="1"/>
  <c r="G19" i="1"/>
  <c r="G16" i="1"/>
  <c r="G13" i="1"/>
  <c r="G4" i="1"/>
  <c r="G25" i="1" s="1"/>
  <c r="D8" i="1"/>
  <c r="D25" i="1"/>
  <c r="D22" i="1"/>
  <c r="D19" i="1"/>
  <c r="D16" i="1"/>
  <c r="D4" i="1"/>
  <c r="D10" i="1" s="1"/>
  <c r="G8" i="1" l="1"/>
  <c r="G32" i="1" s="1"/>
  <c r="G9" i="1"/>
  <c r="D32" i="1"/>
</calcChain>
</file>

<file path=xl/sharedStrings.xml><?xml version="1.0" encoding="utf-8"?>
<sst xmlns="http://schemas.openxmlformats.org/spreadsheetml/2006/main" count="47" uniqueCount="22">
  <si>
    <t>Supplier 1</t>
  </si>
  <si>
    <t>Supplier 2</t>
  </si>
  <si>
    <t>Total Engine Cost</t>
  </si>
  <si>
    <t>Cost ($)</t>
  </si>
  <si>
    <t>Cash Discount</t>
  </si>
  <si>
    <t>n/30</t>
  </si>
  <si>
    <t>1/10</t>
  </si>
  <si>
    <t>2/10</t>
  </si>
  <si>
    <t>Tooling Cost</t>
  </si>
  <si>
    <t>Transportation Cost (LTL)</t>
  </si>
  <si>
    <t>Ordering Cost</t>
  </si>
  <si>
    <t>Carrying Cost</t>
  </si>
  <si>
    <t>Quality Cost</t>
  </si>
  <si>
    <t>Delivery Rating</t>
  </si>
  <si>
    <t>Total Cost of Ownership</t>
  </si>
  <si>
    <t>Cost Heads</t>
  </si>
  <si>
    <t>S.No.</t>
  </si>
  <si>
    <t>Lost Sales (60%)</t>
  </si>
  <si>
    <t>Back Orders (40%)</t>
  </si>
  <si>
    <t>Lost Sales (70%)</t>
  </si>
  <si>
    <t>Back Orders (30%)</t>
  </si>
  <si>
    <t>Supplier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</si>
</sst>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164" fontId="2" fillId="0" borderId="1" xfId="1" applyNumberFormat="1" applyFont="1" applyBorder="1"/>
    <xf numFmtId="49" fontId="2" fillId="0" borderId="1" xfId="0" applyNumberFormat="1" applyFont="1" applyBorder="1"/>
    <xf numFmtId="164" fontId="2" fillId="0" borderId="0" xfId="1" applyNumberFormat="1" applyFont="1"/>
    <xf numFmtId="0" fontId="3" fillId="0" borderId="0" xfId="0" applyFont="1" applyAlignment="1">
      <alignment horizontal="center"/>
    </xf>
    <xf numFmtId="164" fontId="2" fillId="0" borderId="1" xfId="1" applyNumberFormat="1" applyFont="1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4" borderId="2" xfId="0" applyFont="1" applyFill="1" applyBorder="1"/>
    <xf numFmtId="164" fontId="2" fillId="5" borderId="1" xfId="1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3"/>
  <sheetViews>
    <sheetView topLeftCell="B1" zoomScaleNormal="100" workbookViewId="0">
      <selection activeCell="B32" sqref="B32:G32"/>
    </sheetView>
  </sheetViews>
  <sheetFormatPr defaultRowHeight="15" x14ac:dyDescent="0.25"/>
  <cols>
    <col min="1" max="1" width="8.85546875" style="1"/>
    <col min="2" max="2" width="21.85546875" style="1" bestFit="1" customWidth="1"/>
    <col min="3" max="3" width="13.140625" style="11" customWidth="1"/>
    <col min="4" max="4" width="34.28515625" style="7" bestFit="1" customWidth="1"/>
    <col min="6" max="6" width="25.42578125" style="11" bestFit="1" customWidth="1"/>
    <col min="7" max="7" width="19.5703125" style="7" customWidth="1"/>
  </cols>
  <sheetData>
    <row r="3" spans="1:18" s="8" customFormat="1" ht="18.75" x14ac:dyDescent="0.3">
      <c r="A3" s="13" t="s">
        <v>16</v>
      </c>
      <c r="B3" s="13" t="s">
        <v>15</v>
      </c>
      <c r="C3" s="13" t="s">
        <v>0</v>
      </c>
      <c r="D3" s="14" t="s">
        <v>3</v>
      </c>
      <c r="E3" s="13"/>
      <c r="F3" s="13" t="s">
        <v>1</v>
      </c>
      <c r="G3" s="14" t="s">
        <v>3</v>
      </c>
    </row>
    <row r="4" spans="1:18" x14ac:dyDescent="0.25">
      <c r="A4" s="15">
        <v>1</v>
      </c>
      <c r="B4" s="15" t="s">
        <v>2</v>
      </c>
      <c r="C4" s="10"/>
      <c r="D4" s="17">
        <f>120000*49</f>
        <v>5880000</v>
      </c>
      <c r="E4" s="3"/>
      <c r="F4" s="10"/>
      <c r="G4" s="17">
        <f>120000*48.5</f>
        <v>5820000</v>
      </c>
    </row>
    <row r="5" spans="1:18" x14ac:dyDescent="0.25">
      <c r="A5" s="4"/>
      <c r="B5" s="4"/>
      <c r="C5" s="10"/>
      <c r="D5" s="9"/>
      <c r="E5" s="3"/>
      <c r="F5" s="10"/>
      <c r="G5" s="5"/>
    </row>
    <row r="6" spans="1:18" x14ac:dyDescent="0.25">
      <c r="A6" s="4"/>
      <c r="B6" s="4"/>
      <c r="C6" s="10"/>
      <c r="D6" s="9"/>
      <c r="E6" s="3"/>
      <c r="F6" s="10"/>
      <c r="G6" s="5"/>
    </row>
    <row r="7" spans="1:18" x14ac:dyDescent="0.25">
      <c r="A7" s="15">
        <v>2</v>
      </c>
      <c r="B7" s="15" t="s">
        <v>4</v>
      </c>
      <c r="C7" s="10"/>
      <c r="D7" s="9"/>
      <c r="E7" s="3"/>
      <c r="F7" s="10"/>
      <c r="G7" s="5"/>
    </row>
    <row r="8" spans="1:18" x14ac:dyDescent="0.25">
      <c r="A8" s="4"/>
      <c r="B8" s="4" t="s">
        <v>5</v>
      </c>
      <c r="C8" s="10"/>
      <c r="D8" s="17">
        <f>D4*0.1*30/360</f>
        <v>49000</v>
      </c>
      <c r="E8" s="3"/>
      <c r="F8" s="10"/>
      <c r="G8" s="17">
        <f>G4*0.1*30/360</f>
        <v>48500</v>
      </c>
    </row>
    <row r="9" spans="1:18" x14ac:dyDescent="0.25">
      <c r="A9" s="4"/>
      <c r="B9" s="6" t="s">
        <v>6</v>
      </c>
      <c r="C9" s="10"/>
      <c r="D9" s="9"/>
      <c r="E9" s="3"/>
      <c r="F9" s="10"/>
      <c r="G9" s="17">
        <f>-G4*(0.1*10/360+0.02)</f>
        <v>-132566.66666666669</v>
      </c>
    </row>
    <row r="10" spans="1:18" x14ac:dyDescent="0.25">
      <c r="A10" s="4"/>
      <c r="B10" s="6" t="s">
        <v>7</v>
      </c>
      <c r="C10" s="10"/>
      <c r="D10" s="17">
        <f>-D4*(0.1*10/360 + 0.02)</f>
        <v>-133933.33333333334</v>
      </c>
      <c r="E10" s="3"/>
      <c r="F10" s="10"/>
      <c r="G10" s="5"/>
    </row>
    <row r="11" spans="1:18" x14ac:dyDescent="0.25">
      <c r="A11" s="4"/>
      <c r="B11" s="4"/>
      <c r="C11" s="10"/>
      <c r="D11" s="9"/>
      <c r="E11" s="3"/>
      <c r="F11" s="10"/>
      <c r="G11" s="5"/>
    </row>
    <row r="12" spans="1:18" x14ac:dyDescent="0.25">
      <c r="A12" s="4"/>
      <c r="B12" s="4"/>
      <c r="C12" s="10"/>
      <c r="D12" s="9"/>
      <c r="E12" s="3"/>
      <c r="F12" s="10"/>
      <c r="G12" s="5"/>
    </row>
    <row r="13" spans="1:18" x14ac:dyDescent="0.25">
      <c r="A13" s="15">
        <v>3</v>
      </c>
      <c r="B13" s="15" t="s">
        <v>8</v>
      </c>
      <c r="C13" s="10"/>
      <c r="D13" s="17">
        <v>12000</v>
      </c>
      <c r="E13" s="3"/>
      <c r="F13" s="10"/>
      <c r="G13" s="17">
        <f>10000</f>
        <v>10000</v>
      </c>
    </row>
    <row r="14" spans="1:18" ht="18.75" x14ac:dyDescent="0.3">
      <c r="A14" s="4"/>
      <c r="B14" s="4"/>
      <c r="C14" s="10"/>
      <c r="D14" s="9"/>
      <c r="E14" s="3"/>
      <c r="F14" s="10"/>
      <c r="G14" s="5"/>
      <c r="R14" s="2"/>
    </row>
    <row r="15" spans="1:18" x14ac:dyDescent="0.25">
      <c r="A15" s="4"/>
      <c r="B15" s="4"/>
      <c r="C15" s="10"/>
      <c r="D15" s="9"/>
      <c r="E15" s="3"/>
      <c r="F15" s="10"/>
      <c r="G15" s="5"/>
    </row>
    <row r="16" spans="1:18" x14ac:dyDescent="0.25">
      <c r="A16" s="15">
        <v>4</v>
      </c>
      <c r="B16" s="15" t="s">
        <v>9</v>
      </c>
      <c r="C16" s="10"/>
      <c r="D16" s="17">
        <f>125*22*120000*0.85/2000</f>
        <v>140250</v>
      </c>
      <c r="E16" s="3"/>
      <c r="F16" s="10"/>
      <c r="G16" s="17">
        <f>100*22*120000*0.85/2000</f>
        <v>112200</v>
      </c>
    </row>
    <row r="17" spans="1:7" x14ac:dyDescent="0.25">
      <c r="A17" s="4"/>
      <c r="B17" s="4"/>
      <c r="C17" s="10"/>
      <c r="D17" s="9"/>
      <c r="E17" s="3"/>
      <c r="F17" s="10"/>
      <c r="G17" s="5"/>
    </row>
    <row r="18" spans="1:7" x14ac:dyDescent="0.25">
      <c r="A18" s="4"/>
      <c r="B18" s="4"/>
      <c r="C18" s="10"/>
      <c r="D18" s="9"/>
      <c r="E18" s="3"/>
      <c r="F18" s="10"/>
      <c r="G18" s="5"/>
    </row>
    <row r="19" spans="1:7" x14ac:dyDescent="0.25">
      <c r="A19" s="15">
        <v>5</v>
      </c>
      <c r="B19" s="15" t="s">
        <v>10</v>
      </c>
      <c r="C19" s="10"/>
      <c r="D19" s="17">
        <f>125*120000/1000</f>
        <v>15000</v>
      </c>
      <c r="E19" s="3"/>
      <c r="F19" s="10"/>
      <c r="G19" s="17">
        <f>(120000/1000)*125</f>
        <v>15000</v>
      </c>
    </row>
    <row r="20" spans="1:7" x14ac:dyDescent="0.25">
      <c r="A20" s="4"/>
      <c r="B20" s="4"/>
      <c r="C20" s="10"/>
      <c r="D20" s="9"/>
      <c r="E20" s="3"/>
      <c r="F20" s="10"/>
      <c r="G20" s="5"/>
    </row>
    <row r="21" spans="1:7" x14ac:dyDescent="0.25">
      <c r="A21" s="4"/>
      <c r="B21" s="4"/>
      <c r="C21" s="10"/>
      <c r="D21" s="9"/>
      <c r="E21" s="3"/>
      <c r="F21" s="10"/>
      <c r="G21" s="5"/>
    </row>
    <row r="22" spans="1:7" x14ac:dyDescent="0.25">
      <c r="A22" s="15">
        <v>6</v>
      </c>
      <c r="B22" s="15" t="s">
        <v>11</v>
      </c>
      <c r="C22" s="10"/>
      <c r="D22" s="17">
        <f>(1000/2)*49*0.2</f>
        <v>4900</v>
      </c>
      <c r="E22" s="3"/>
      <c r="F22" s="10"/>
      <c r="G22" s="17">
        <f>(1000/2)*48.5*0.2</f>
        <v>4850</v>
      </c>
    </row>
    <row r="23" spans="1:7" x14ac:dyDescent="0.25">
      <c r="A23" s="4"/>
      <c r="B23" s="4"/>
      <c r="C23" s="10"/>
      <c r="D23" s="9"/>
      <c r="E23" s="3"/>
      <c r="F23" s="10"/>
      <c r="G23" s="5"/>
    </row>
    <row r="24" spans="1:7" x14ac:dyDescent="0.25">
      <c r="A24" s="4"/>
      <c r="B24" s="4"/>
      <c r="C24" s="10"/>
      <c r="D24" s="9"/>
      <c r="E24" s="3"/>
      <c r="F24" s="10"/>
      <c r="G24" s="5"/>
    </row>
    <row r="25" spans="1:7" x14ac:dyDescent="0.25">
      <c r="A25" s="15">
        <v>7</v>
      </c>
      <c r="B25" s="15" t="s">
        <v>12</v>
      </c>
      <c r="C25" s="10"/>
      <c r="D25" s="17">
        <f>D4*0.02</f>
        <v>117600</v>
      </c>
      <c r="E25" s="3"/>
      <c r="F25" s="10"/>
      <c r="G25" s="17">
        <f>G4*0.02</f>
        <v>116400</v>
      </c>
    </row>
    <row r="26" spans="1:7" x14ac:dyDescent="0.25">
      <c r="A26" s="4"/>
      <c r="B26" s="4"/>
      <c r="C26" s="10"/>
      <c r="D26" s="9"/>
      <c r="E26" s="3"/>
      <c r="F26" s="10"/>
      <c r="G26" s="5"/>
    </row>
    <row r="27" spans="1:7" x14ac:dyDescent="0.25">
      <c r="A27" s="4"/>
      <c r="B27" s="4"/>
      <c r="C27" s="10"/>
      <c r="D27" s="9"/>
      <c r="E27" s="3"/>
      <c r="F27" s="10"/>
      <c r="G27" s="5"/>
    </row>
    <row r="28" spans="1:7" x14ac:dyDescent="0.25">
      <c r="A28" s="15">
        <v>8</v>
      </c>
      <c r="B28" s="15" t="s">
        <v>13</v>
      </c>
      <c r="C28" s="10"/>
      <c r="D28" s="9"/>
      <c r="E28" s="3"/>
      <c r="F28" s="10"/>
      <c r="G28" s="5"/>
    </row>
    <row r="29" spans="1:7" x14ac:dyDescent="0.25">
      <c r="A29" s="4"/>
      <c r="B29" s="15" t="s">
        <v>18</v>
      </c>
      <c r="C29" s="10"/>
      <c r="D29" s="17">
        <f>120000*0.01*0.4*15</f>
        <v>7200</v>
      </c>
      <c r="E29" s="3"/>
      <c r="F29" s="10"/>
      <c r="G29" s="17">
        <f>120000*0.02*0.4*15</f>
        <v>14400</v>
      </c>
    </row>
    <row r="30" spans="1:7" x14ac:dyDescent="0.25">
      <c r="A30" s="4"/>
      <c r="B30" s="15" t="s">
        <v>17</v>
      </c>
      <c r="C30" s="10"/>
      <c r="D30" s="17">
        <f>120000*0.01*0.6*4500*0.15</f>
        <v>486000</v>
      </c>
      <c r="E30" s="3"/>
      <c r="F30" s="10"/>
      <c r="G30" s="17">
        <f>120000*0.02*0.6*4500*0.15</f>
        <v>972000</v>
      </c>
    </row>
    <row r="31" spans="1:7" ht="15.75" thickBot="1" x14ac:dyDescent="0.3"/>
    <row r="32" spans="1:7" ht="15.75" thickBot="1" x14ac:dyDescent="0.3">
      <c r="B32" s="16" t="s">
        <v>14</v>
      </c>
      <c r="C32" s="18" t="s">
        <v>0</v>
      </c>
      <c r="D32" s="17">
        <f>SUM(D4:D30)</f>
        <v>6578016.666666667</v>
      </c>
      <c r="E32" s="12"/>
      <c r="F32" s="18" t="s">
        <v>1</v>
      </c>
      <c r="G32" s="17">
        <f>SUM(G4:G30)</f>
        <v>6980783.333333333</v>
      </c>
    </row>
    <row r="33" spans="4:4" x14ac:dyDescent="0.25">
      <c r="D3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3"/>
  <sheetViews>
    <sheetView tabSelected="1" topLeftCell="A19" zoomScale="110" zoomScaleNormal="110" workbookViewId="0">
      <selection activeCell="B32" sqref="B32:H32"/>
    </sheetView>
  </sheetViews>
  <sheetFormatPr defaultRowHeight="15" x14ac:dyDescent="0.25"/>
  <cols>
    <col min="1" max="1" width="9.140625" style="1"/>
    <col min="2" max="2" width="21.85546875" style="1" bestFit="1" customWidth="1"/>
    <col min="3" max="3" width="17.7109375" style="11" customWidth="1"/>
    <col min="4" max="4" width="16.5703125" style="7" customWidth="1"/>
    <col min="5" max="5" width="15.42578125" style="11" customWidth="1"/>
    <col min="6" max="6" width="12.7109375" style="7" bestFit="1" customWidth="1"/>
    <col min="7" max="7" width="17.85546875" customWidth="1"/>
    <col min="8" max="8" width="20" customWidth="1"/>
  </cols>
  <sheetData>
    <row r="3" spans="1:16" s="8" customFormat="1" ht="18.75" x14ac:dyDescent="0.3">
      <c r="A3" s="13" t="s">
        <v>16</v>
      </c>
      <c r="B3" s="13" t="s">
        <v>15</v>
      </c>
      <c r="C3" s="13" t="s">
        <v>0</v>
      </c>
      <c r="D3" s="14" t="s">
        <v>3</v>
      </c>
      <c r="E3" s="13" t="s">
        <v>1</v>
      </c>
      <c r="F3" s="14" t="s">
        <v>3</v>
      </c>
      <c r="G3" s="13" t="s">
        <v>21</v>
      </c>
      <c r="H3" s="14" t="s">
        <v>3</v>
      </c>
    </row>
    <row r="4" spans="1:16" x14ac:dyDescent="0.25">
      <c r="A4" s="15">
        <v>1</v>
      </c>
      <c r="B4" s="15" t="s">
        <v>2</v>
      </c>
      <c r="C4" s="10"/>
      <c r="D4" s="17">
        <f>240000*195</f>
        <v>46800000</v>
      </c>
      <c r="E4" s="10"/>
      <c r="F4" s="17">
        <f>240000*190</f>
        <v>45600000</v>
      </c>
      <c r="G4" s="10"/>
      <c r="H4" s="17">
        <f>240000*192</f>
        <v>46080000</v>
      </c>
    </row>
    <row r="5" spans="1:16" x14ac:dyDescent="0.25">
      <c r="A5" s="4"/>
      <c r="B5" s="4"/>
      <c r="C5" s="10"/>
      <c r="D5" s="9"/>
      <c r="E5" s="10"/>
      <c r="F5" s="5"/>
      <c r="G5" s="10"/>
      <c r="H5" s="5"/>
    </row>
    <row r="6" spans="1:16" x14ac:dyDescent="0.25">
      <c r="A6" s="4"/>
      <c r="B6" s="4"/>
      <c r="C6" s="10"/>
      <c r="D6" s="9"/>
      <c r="E6" s="10"/>
      <c r="F6" s="5"/>
      <c r="G6" s="10"/>
      <c r="H6" s="5"/>
    </row>
    <row r="7" spans="1:16" x14ac:dyDescent="0.25">
      <c r="A7" s="15">
        <v>2</v>
      </c>
      <c r="B7" s="15" t="s">
        <v>4</v>
      </c>
      <c r="C7" s="10"/>
      <c r="D7" s="9"/>
      <c r="E7" s="10"/>
      <c r="F7" s="5"/>
      <c r="G7" s="10"/>
      <c r="H7" s="5"/>
    </row>
    <row r="8" spans="1:16" x14ac:dyDescent="0.25">
      <c r="A8" s="4"/>
      <c r="B8" s="4" t="s">
        <v>5</v>
      </c>
      <c r="C8" s="10"/>
      <c r="D8" s="17">
        <f>D4*0.1*30/360</f>
        <v>390000</v>
      </c>
      <c r="E8" s="10"/>
      <c r="F8" s="17">
        <f>F4*(0.1*10/360+0.02)</f>
        <v>1038666.6666666667</v>
      </c>
      <c r="G8" s="10"/>
      <c r="H8" s="17">
        <f>H4*(0.1*10/360+0.02)</f>
        <v>1049600</v>
      </c>
    </row>
    <row r="9" spans="1:16" x14ac:dyDescent="0.25">
      <c r="A9" s="4"/>
      <c r="B9" s="6" t="s">
        <v>6</v>
      </c>
      <c r="C9" s="10"/>
      <c r="D9" s="9"/>
      <c r="E9" s="10"/>
      <c r="F9" s="17">
        <f>-F4*(0.1*10/360+0.02)</f>
        <v>-1038666.6666666667</v>
      </c>
      <c r="G9" s="10"/>
      <c r="H9" s="17">
        <f>-H4*(0.1*10/360+0.01)</f>
        <v>-588800</v>
      </c>
    </row>
    <row r="10" spans="1:16" x14ac:dyDescent="0.25">
      <c r="A10" s="4"/>
      <c r="B10" s="6" t="s">
        <v>7</v>
      </c>
      <c r="C10" s="10"/>
      <c r="D10" s="17">
        <f>-D4*(0.1*10/360+0.02)</f>
        <v>-1066000</v>
      </c>
      <c r="E10" s="10"/>
      <c r="F10" s="5"/>
      <c r="G10" s="10"/>
      <c r="H10" s="5"/>
    </row>
    <row r="11" spans="1:16" x14ac:dyDescent="0.25">
      <c r="A11" s="4"/>
      <c r="B11" s="4"/>
      <c r="C11" s="10"/>
      <c r="D11" s="9"/>
      <c r="E11" s="10"/>
      <c r="F11" s="5"/>
      <c r="G11" s="10"/>
      <c r="H11" s="5"/>
    </row>
    <row r="12" spans="1:16" x14ac:dyDescent="0.25">
      <c r="A12" s="4"/>
      <c r="B12" s="4"/>
      <c r="C12" s="10"/>
      <c r="D12" s="9"/>
      <c r="E12" s="10"/>
      <c r="F12" s="5"/>
      <c r="G12" s="10"/>
      <c r="H12" s="5"/>
    </row>
    <row r="13" spans="1:16" x14ac:dyDescent="0.25">
      <c r="A13" s="15">
        <v>3</v>
      </c>
      <c r="B13" s="15" t="s">
        <v>8</v>
      </c>
      <c r="C13" s="10"/>
      <c r="D13" s="17">
        <f>12000</f>
        <v>12000</v>
      </c>
      <c r="E13" s="10"/>
      <c r="F13" s="17">
        <v>10000</v>
      </c>
      <c r="G13" s="10"/>
      <c r="H13" s="17">
        <f>15000</f>
        <v>15000</v>
      </c>
    </row>
    <row r="14" spans="1:16" ht="18.75" x14ac:dyDescent="0.3">
      <c r="A14" s="4"/>
      <c r="B14" s="4"/>
      <c r="C14" s="10"/>
      <c r="D14" s="9"/>
      <c r="E14" s="10"/>
      <c r="F14" s="5"/>
      <c r="G14" s="10"/>
      <c r="H14" s="5"/>
      <c r="P14" s="2"/>
    </row>
    <row r="15" spans="1:16" x14ac:dyDescent="0.25">
      <c r="A15" s="4"/>
      <c r="B15" s="4"/>
      <c r="C15" s="10"/>
      <c r="D15" s="9"/>
      <c r="E15" s="10"/>
      <c r="F15" s="5"/>
      <c r="G15" s="10"/>
      <c r="H15" s="5"/>
    </row>
    <row r="16" spans="1:16" x14ac:dyDescent="0.25">
      <c r="A16" s="15">
        <v>4</v>
      </c>
      <c r="B16" s="15" t="s">
        <v>9</v>
      </c>
      <c r="C16" s="10"/>
      <c r="D16" s="17">
        <f>120*240000*40*0.95/2000</f>
        <v>547200</v>
      </c>
      <c r="E16" s="10"/>
      <c r="F16" s="17">
        <f>100*240000*40*0.95/2000</f>
        <v>456000</v>
      </c>
      <c r="G16" s="10"/>
      <c r="H16" s="17">
        <f>150*240000*40*0.95/2000</f>
        <v>684000</v>
      </c>
    </row>
    <row r="17" spans="1:8" x14ac:dyDescent="0.25">
      <c r="A17" s="4"/>
      <c r="B17" s="4"/>
      <c r="C17" s="10"/>
      <c r="D17" s="9"/>
      <c r="E17" s="10"/>
      <c r="F17" s="5"/>
      <c r="G17" s="10"/>
      <c r="H17" s="5"/>
    </row>
    <row r="18" spans="1:8" x14ac:dyDescent="0.25">
      <c r="A18" s="4"/>
      <c r="B18" s="4"/>
      <c r="C18" s="10"/>
      <c r="D18" s="9"/>
      <c r="E18" s="10"/>
      <c r="F18" s="5"/>
      <c r="G18" s="10"/>
      <c r="H18" s="5"/>
    </row>
    <row r="19" spans="1:8" x14ac:dyDescent="0.25">
      <c r="A19" s="15">
        <v>5</v>
      </c>
      <c r="B19" s="15" t="s">
        <v>10</v>
      </c>
      <c r="C19" s="10"/>
      <c r="D19" s="17">
        <f>240000/2000*200</f>
        <v>24000</v>
      </c>
      <c r="E19" s="10"/>
      <c r="F19" s="17">
        <f>240000/2000*200</f>
        <v>24000</v>
      </c>
      <c r="G19" s="10"/>
      <c r="H19" s="17">
        <f>240000/2000*200</f>
        <v>24000</v>
      </c>
    </row>
    <row r="20" spans="1:8" x14ac:dyDescent="0.25">
      <c r="A20" s="4"/>
      <c r="B20" s="4"/>
      <c r="C20" s="10"/>
      <c r="D20" s="9"/>
      <c r="E20" s="10"/>
      <c r="F20" s="5"/>
      <c r="G20" s="10"/>
      <c r="H20" s="5"/>
    </row>
    <row r="21" spans="1:8" x14ac:dyDescent="0.25">
      <c r="A21" s="4"/>
      <c r="B21" s="4"/>
      <c r="C21" s="10"/>
      <c r="D21" s="9"/>
      <c r="E21" s="10"/>
      <c r="F21" s="5"/>
      <c r="G21" s="10"/>
      <c r="H21" s="5"/>
    </row>
    <row r="22" spans="1:8" x14ac:dyDescent="0.25">
      <c r="A22" s="15">
        <v>6</v>
      </c>
      <c r="B22" s="15" t="s">
        <v>11</v>
      </c>
      <c r="C22" s="10"/>
      <c r="D22" s="17">
        <f>2000/2*195*0.2</f>
        <v>39000</v>
      </c>
      <c r="E22" s="10"/>
      <c r="F22" s="17">
        <f>2000/2*190*0.2</f>
        <v>38000</v>
      </c>
      <c r="G22" s="10"/>
      <c r="H22" s="17">
        <f>2000/2*192*0.2</f>
        <v>38400</v>
      </c>
    </row>
    <row r="23" spans="1:8" x14ac:dyDescent="0.25">
      <c r="A23" s="4"/>
      <c r="B23" s="4"/>
      <c r="C23" s="10"/>
      <c r="D23" s="9"/>
      <c r="E23" s="10"/>
      <c r="F23" s="5"/>
      <c r="G23" s="10"/>
      <c r="H23" s="5"/>
    </row>
    <row r="24" spans="1:8" x14ac:dyDescent="0.25">
      <c r="A24" s="4"/>
      <c r="B24" s="4"/>
      <c r="C24" s="10"/>
      <c r="D24" s="9"/>
      <c r="E24" s="10"/>
      <c r="F24" s="5"/>
      <c r="G24" s="10"/>
      <c r="H24" s="5"/>
    </row>
    <row r="25" spans="1:8" x14ac:dyDescent="0.25">
      <c r="A25" s="15">
        <v>7</v>
      </c>
      <c r="B25" s="15" t="s">
        <v>12</v>
      </c>
      <c r="C25" s="10"/>
      <c r="D25" s="17">
        <f>D4*0.02</f>
        <v>936000</v>
      </c>
      <c r="E25" s="10"/>
      <c r="F25" s="17">
        <f>F4*0.02</f>
        <v>912000</v>
      </c>
      <c r="G25" s="10"/>
      <c r="H25" s="17">
        <f>H4*0.02</f>
        <v>921600</v>
      </c>
    </row>
    <row r="26" spans="1:8" x14ac:dyDescent="0.25">
      <c r="A26" s="4"/>
      <c r="B26" s="4"/>
      <c r="C26" s="10"/>
      <c r="D26" s="9"/>
      <c r="E26" s="10"/>
      <c r="F26" s="5"/>
      <c r="G26" s="10"/>
      <c r="H26" s="5"/>
    </row>
    <row r="27" spans="1:8" x14ac:dyDescent="0.25">
      <c r="A27" s="4"/>
      <c r="B27" s="4"/>
      <c r="C27" s="10"/>
      <c r="D27" s="9"/>
      <c r="E27" s="10"/>
      <c r="F27" s="5"/>
      <c r="G27" s="10"/>
      <c r="H27" s="5"/>
    </row>
    <row r="28" spans="1:8" x14ac:dyDescent="0.25">
      <c r="A28" s="15">
        <v>8</v>
      </c>
      <c r="B28" s="15" t="s">
        <v>13</v>
      </c>
      <c r="C28" s="10"/>
      <c r="D28" s="9"/>
      <c r="E28" s="10"/>
      <c r="F28" s="5"/>
      <c r="G28" s="10"/>
      <c r="H28" s="5"/>
    </row>
    <row r="29" spans="1:8" x14ac:dyDescent="0.25">
      <c r="A29" s="4"/>
      <c r="B29" s="15" t="s">
        <v>20</v>
      </c>
      <c r="C29" s="10"/>
      <c r="D29" s="17">
        <f>240000*0.01*0.3*120</f>
        <v>86400</v>
      </c>
      <c r="E29" s="10"/>
      <c r="F29" s="17">
        <f>240000*0.01*0.3*120</f>
        <v>86400</v>
      </c>
      <c r="G29" s="10"/>
      <c r="H29" s="17">
        <f>240000*0.02*0.3*120</f>
        <v>172800</v>
      </c>
    </row>
    <row r="30" spans="1:8" x14ac:dyDescent="0.25">
      <c r="A30" s="4"/>
      <c r="B30" s="15" t="s">
        <v>19</v>
      </c>
      <c r="C30" s="10"/>
      <c r="D30" s="17">
        <f>240000*0.01*0.7*10500*0.15</f>
        <v>2646000</v>
      </c>
      <c r="E30" s="10"/>
      <c r="F30" s="17">
        <f>240000*0.01*0.7*10500*0.15</f>
        <v>2646000</v>
      </c>
      <c r="G30" s="10"/>
      <c r="H30" s="17">
        <f>240000*0.02*0.7*10500*0.15</f>
        <v>5292000</v>
      </c>
    </row>
    <row r="31" spans="1:8" ht="15.75" thickBot="1" x14ac:dyDescent="0.3">
      <c r="G31" s="11"/>
      <c r="H31" s="7"/>
    </row>
    <row r="32" spans="1:8" ht="15.75" thickBot="1" x14ac:dyDescent="0.3">
      <c r="B32" s="16" t="s">
        <v>14</v>
      </c>
      <c r="C32" s="18" t="s">
        <v>0</v>
      </c>
      <c r="D32" s="17">
        <f>SUM(D4:D30)</f>
        <v>50414600</v>
      </c>
      <c r="E32" s="18" t="s">
        <v>1</v>
      </c>
      <c r="F32" s="17">
        <f>SUM(F4:F30)</f>
        <v>49772400</v>
      </c>
      <c r="G32" s="18" t="s">
        <v>21</v>
      </c>
      <c r="H32" s="17">
        <f>SUM(H4:H30)</f>
        <v>53688600</v>
      </c>
    </row>
    <row r="33" spans="4:4" x14ac:dyDescent="0.25">
      <c r="D33"/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6B5962AC0EE642B889CB197A2617FC" ma:contentTypeVersion="14" ma:contentTypeDescription="Create a new document." ma:contentTypeScope="" ma:versionID="7e8d889a8b2f3ef10d1473ff90fcfc78">
  <xsd:schema xmlns:xsd="http://www.w3.org/2001/XMLSchema" xmlns:xs="http://www.w3.org/2001/XMLSchema" xmlns:p="http://schemas.microsoft.com/office/2006/metadata/properties" xmlns:ns3="319ba14a-5445-4af2-8742-a815eb51af51" xmlns:ns4="24943355-3d06-43c7-9b2b-1a24b6aee8df" targetNamespace="http://schemas.microsoft.com/office/2006/metadata/properties" ma:root="true" ma:fieldsID="a10bf1b3018836c0580285c409bce06b" ns3:_="" ns4:_="">
    <xsd:import namespace="319ba14a-5445-4af2-8742-a815eb51af51"/>
    <xsd:import namespace="24943355-3d06-43c7-9b2b-1a24b6aee8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ba14a-5445-4af2-8742-a815eb51af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43355-3d06-43c7-9b2b-1a24b6aee8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C6B8B1-A592-474E-846D-46F4CEB6D1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9ba14a-5445-4af2-8742-a815eb51af51"/>
    <ds:schemaRef ds:uri="24943355-3d06-43c7-9b2b-1a24b6aee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F0C3B4-157E-4C11-9431-E4711E0C53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8DC5AB-7B4E-4835-8C47-C0624490CD65}">
  <ds:schemaRefs>
    <ds:schemaRef ds:uri="http://schemas.microsoft.com/office/2006/documentManagement/types"/>
    <ds:schemaRef ds:uri="http://purl.org/dc/elements/1.1/"/>
    <ds:schemaRef ds:uri="319ba14a-5445-4af2-8742-a815eb51af51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24943355-3d06-43c7-9b2b-1a24b6aee8df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Wamiq</dc:creator>
  <cp:lastModifiedBy>Mehdi Raza Khorasani</cp:lastModifiedBy>
  <dcterms:created xsi:type="dcterms:W3CDTF">2021-09-15T17:27:13Z</dcterms:created>
  <dcterms:modified xsi:type="dcterms:W3CDTF">2021-09-30T20:49:20Z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0x010100946B5962AC0EE642B889CB197A2617FC</vt:lpwstr>
  </property>
</Properties>
</file>