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uawe\Desktop\Yeni klasör (2)\"/>
    </mc:Choice>
  </mc:AlternateContent>
  <xr:revisionPtr revIDLastSave="0" documentId="13_ncr:1_{60E08C56-BAA0-476C-94BC-ADB920B05973}" xr6:coauthVersionLast="47" xr6:coauthVersionMax="47" xr10:uidLastSave="{00000000-0000-0000-0000-000000000000}"/>
  <bookViews>
    <workbookView xWindow="-110" yWindow="-110" windowWidth="25420" windowHeight="16300" tabRatio="778" activeTab="2" xr2:uid="{00000000-000D-0000-FFFF-FFFF00000000}"/>
  </bookViews>
  <sheets>
    <sheet name="Veri" sheetId="1" r:id="rId1"/>
    <sheet name="Pivot" sheetId="19" r:id="rId2"/>
    <sheet name="Analiz" sheetId="18" r:id="rId3"/>
    <sheet name="Kaynaklar" sheetId="3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8" l="1"/>
  <c r="A1" i="18"/>
  <c r="M11" i="18"/>
  <c r="N15" i="18"/>
  <c r="N11" i="18"/>
  <c r="N14" i="18"/>
  <c r="N12" i="18"/>
  <c r="M15" i="18"/>
  <c r="M14" i="18"/>
  <c r="M12" i="18"/>
  <c r="M13" i="18"/>
  <c r="N13" i="18"/>
  <c r="N16" i="18" l="1"/>
  <c r="M16" i="18"/>
  <c r="P3" i="18"/>
  <c r="P2" i="18"/>
  <c r="J5" i="18"/>
  <c r="J3" i="18"/>
  <c r="J4" i="18"/>
  <c r="J2" i="18"/>
  <c r="J6" i="18"/>
  <c r="K2" i="18" l="1"/>
  <c r="K3" i="18"/>
  <c r="K6" i="18"/>
  <c r="K5" i="18"/>
  <c r="L7" i="18"/>
  <c r="K4" i="18"/>
  <c r="B5" i="18"/>
  <c r="B13" i="18"/>
  <c r="B27" i="18"/>
  <c r="D28" i="18"/>
  <c r="C14" i="18"/>
  <c r="C21" i="18"/>
  <c r="B4" i="18"/>
  <c r="E3" i="18"/>
  <c r="B10" i="18"/>
  <c r="C11" i="18"/>
  <c r="B23" i="18"/>
  <c r="E7" i="18"/>
  <c r="E28" i="18"/>
  <c r="C13" i="18"/>
  <c r="D25" i="18"/>
  <c r="C7" i="18"/>
  <c r="B3" i="18"/>
  <c r="C12" i="18"/>
  <c r="D13" i="18"/>
  <c r="E10" i="18"/>
  <c r="C5" i="18"/>
  <c r="D30" i="18"/>
  <c r="E23" i="18"/>
  <c r="D23" i="18"/>
  <c r="C32" i="18"/>
  <c r="D29" i="18"/>
  <c r="B9" i="18"/>
  <c r="C31" i="18"/>
  <c r="B28" i="18"/>
  <c r="E12" i="18"/>
  <c r="D8" i="18"/>
  <c r="B29" i="18"/>
  <c r="E6" i="18"/>
  <c r="E26" i="18"/>
  <c r="E30" i="18"/>
  <c r="D2" i="18"/>
  <c r="B32" i="18"/>
  <c r="E4" i="18"/>
  <c r="E25" i="18"/>
  <c r="B11" i="18"/>
  <c r="C24" i="18"/>
  <c r="D27" i="18"/>
  <c r="D24" i="18"/>
  <c r="E5" i="18"/>
  <c r="D11" i="18"/>
  <c r="B6" i="18"/>
  <c r="B20" i="18"/>
  <c r="B25" i="18"/>
  <c r="E24" i="18"/>
  <c r="E22" i="18"/>
  <c r="B2" i="18"/>
  <c r="B7" i="18"/>
  <c r="C20" i="18"/>
  <c r="E31" i="18"/>
  <c r="C29" i="18"/>
  <c r="E2" i="18"/>
  <c r="B14" i="18"/>
  <c r="C23" i="18"/>
  <c r="B12" i="18"/>
  <c r="C9" i="18"/>
  <c r="B31" i="18"/>
  <c r="C30" i="18"/>
  <c r="D7" i="18"/>
  <c r="C27" i="18"/>
  <c r="D12" i="18"/>
  <c r="C6" i="18"/>
  <c r="E8" i="18"/>
  <c r="B22" i="18"/>
  <c r="B24" i="18"/>
  <c r="E11" i="18"/>
  <c r="D26" i="18"/>
  <c r="D4" i="18"/>
  <c r="D22" i="18"/>
  <c r="C10" i="18"/>
  <c r="D6" i="18"/>
  <c r="E20" i="18"/>
  <c r="B30" i="18"/>
  <c r="E13" i="18"/>
  <c r="C28" i="18"/>
  <c r="B21" i="18"/>
  <c r="B8" i="18"/>
  <c r="D3" i="18"/>
  <c r="C22" i="18"/>
  <c r="D9" i="18"/>
  <c r="E9" i="18"/>
  <c r="C25" i="18"/>
  <c r="B26" i="18"/>
  <c r="D20" i="18"/>
  <c r="E29" i="18"/>
  <c r="D21" i="18"/>
  <c r="C3" i="18"/>
  <c r="C26" i="18"/>
  <c r="D10" i="18"/>
  <c r="D5" i="18"/>
  <c r="D31" i="18"/>
  <c r="C8" i="18"/>
  <c r="C4" i="18"/>
  <c r="C2" i="18"/>
  <c r="E21" i="18"/>
  <c r="E27" i="18"/>
  <c r="M6" i="18" l="1"/>
  <c r="M3" i="18"/>
  <c r="M5" i="18"/>
  <c r="M4" i="18"/>
  <c r="M2" i="18"/>
  <c r="K7" i="18" a="1"/>
  <c r="K7" i="18" s="1"/>
  <c r="G20" i="18"/>
  <c r="H20" i="18" s="1"/>
  <c r="G31" i="18"/>
  <c r="H31" i="18" s="1"/>
  <c r="G28" i="18"/>
  <c r="H28" i="18" s="1"/>
  <c r="G27" i="18"/>
  <c r="H27" i="18" s="1"/>
  <c r="G23" i="18"/>
  <c r="H23" i="18" s="1"/>
  <c r="G29" i="18"/>
  <c r="H29" i="18" s="1"/>
  <c r="G26" i="18"/>
  <c r="H26" i="18" s="1"/>
  <c r="G22" i="18"/>
  <c r="H22" i="18" s="1"/>
  <c r="G30" i="18"/>
  <c r="H30" i="18" s="1"/>
  <c r="G25" i="18"/>
  <c r="H25" i="18" s="1"/>
  <c r="G21" i="18"/>
  <c r="H21" i="18" s="1"/>
  <c r="G24" i="18"/>
  <c r="H24" i="18" s="1"/>
  <c r="L5" i="18"/>
  <c r="N5" i="18" s="1"/>
  <c r="L6" i="18"/>
  <c r="N6" i="18" s="1"/>
  <c r="L2" i="18"/>
  <c r="N2" i="18" s="1"/>
  <c r="L3" i="18"/>
  <c r="N3" i="18" s="1"/>
  <c r="L4" i="18"/>
  <c r="N4" i="18" s="1"/>
  <c r="J25" i="18"/>
  <c r="K19" i="18" s="1"/>
  <c r="J28" i="18"/>
  <c r="B15" i="18" s="1"/>
  <c r="B16" i="18" s="1"/>
  <c r="F14" i="18"/>
  <c r="N7" i="18" l="1"/>
  <c r="M7" i="18"/>
  <c r="J20" i="18"/>
  <c r="J21" i="18" s="1"/>
  <c r="J22" i="18"/>
  <c r="C15" i="18"/>
  <c r="C16" i="18" s="1"/>
  <c r="F12" i="18"/>
  <c r="F11" i="18"/>
  <c r="F4" i="18"/>
  <c r="F10" i="18"/>
  <c r="F3" i="18"/>
  <c r="F2" i="18"/>
  <c r="F8" i="18"/>
  <c r="F7" i="18"/>
  <c r="F6" i="18"/>
  <c r="F5" i="18"/>
  <c r="F9" i="18"/>
  <c r="F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<sst xmlns="http://schemas.openxmlformats.org/spreadsheetml/2006/main" count="263" uniqueCount="138">
  <si>
    <t>MAR</t>
  </si>
  <si>
    <t>MAY</t>
  </si>
  <si>
    <t>Yıl</t>
  </si>
  <si>
    <t>Ay</t>
  </si>
  <si>
    <t>OCA</t>
  </si>
  <si>
    <t>ŞUB</t>
  </si>
  <si>
    <t>NİS</t>
  </si>
  <si>
    <t>HAZ</t>
  </si>
  <si>
    <t>TEM</t>
  </si>
  <si>
    <t>AĞU</t>
  </si>
  <si>
    <t>EYL</t>
  </si>
  <si>
    <t>EKİ</t>
  </si>
  <si>
    <t>KAS</t>
  </si>
  <si>
    <t>ARA</t>
  </si>
  <si>
    <t>Yatırımlar</t>
  </si>
  <si>
    <t>Satış Hacmi</t>
  </si>
  <si>
    <t>Gelir</t>
  </si>
  <si>
    <t>Giderler</t>
  </si>
  <si>
    <t>PZT</t>
  </si>
  <si>
    <t>SAL</t>
  </si>
  <si>
    <t>ÇAR</t>
  </si>
  <si>
    <t>PER</t>
  </si>
  <si>
    <t>CUM</t>
  </si>
  <si>
    <t>Satış Ahmet</t>
  </si>
  <si>
    <t>Satış Büşra</t>
  </si>
  <si>
    <t>Satış Ceren</t>
  </si>
  <si>
    <t>Satış Damla</t>
  </si>
  <si>
    <t>Satış Ezgi</t>
  </si>
  <si>
    <t>Gelir Ahmet</t>
  </si>
  <si>
    <t>Gelir Büşra</t>
  </si>
  <si>
    <t>Gelir Ceren</t>
  </si>
  <si>
    <t>Gelir Damla</t>
  </si>
  <si>
    <t>Gelir Ezgi</t>
  </si>
  <si>
    <t>#754CB9</t>
  </si>
  <si>
    <t>#519FFB</t>
  </si>
  <si>
    <t>#EE0078</t>
  </si>
  <si>
    <t>#562BFF</t>
  </si>
  <si>
    <t>#1E2255</t>
  </si>
  <si>
    <t>#2B215C</t>
  </si>
  <si>
    <t>#4E7AE2</t>
  </si>
  <si>
    <t>#3A2058</t>
  </si>
  <si>
    <t>#B7D6FF</t>
  </si>
  <si>
    <t>#5584ED</t>
  </si>
  <si>
    <t>#B459A0</t>
  </si>
  <si>
    <t>#006FF6</t>
  </si>
  <si>
    <t>#3C56B2</t>
  </si>
  <si>
    <t>#2F4495</t>
  </si>
  <si>
    <t>#002858</t>
  </si>
  <si>
    <t>#253274</t>
  </si>
  <si>
    <t>#7A4FF0</t>
  </si>
  <si>
    <t>#5080DB</t>
  </si>
  <si>
    <t>#60A8FF</t>
  </si>
  <si>
    <t>#6476CE</t>
  </si>
  <si>
    <t>#2185FF</t>
  </si>
  <si>
    <t>#222964</t>
  </si>
  <si>
    <t>#00C6D1</t>
  </si>
  <si>
    <t>#AEACF5</t>
  </si>
  <si>
    <t>#232C68</t>
  </si>
  <si>
    <t>#1C265C</t>
  </si>
  <si>
    <t>#6459F9</t>
  </si>
  <si>
    <t>Font</t>
  </si>
  <si>
    <t>#A2ADBE</t>
  </si>
  <si>
    <t>#43416F</t>
  </si>
  <si>
    <t>#F2ECFF</t>
  </si>
  <si>
    <t>#341EEF</t>
  </si>
  <si>
    <t>#35386E</t>
  </si>
  <si>
    <t>#F17EEC</t>
  </si>
  <si>
    <t>#4E7AFF</t>
  </si>
  <si>
    <t>#4552F1</t>
  </si>
  <si>
    <t>Kenarlık</t>
  </si>
  <si>
    <t>Konum</t>
  </si>
  <si>
    <t>Şeffaflık</t>
  </si>
  <si>
    <t>Açı</t>
  </si>
  <si>
    <t>Gölge</t>
  </si>
  <si>
    <t>Satır Etiketleri</t>
  </si>
  <si>
    <t>Genel Toplam</t>
  </si>
  <si>
    <t>Toplam Yatırımlar</t>
  </si>
  <si>
    <t>Toplam Satış Hacmi</t>
  </si>
  <si>
    <t>İşaret S</t>
  </si>
  <si>
    <t>İşaret Y</t>
  </si>
  <si>
    <t>Boşluk</t>
  </si>
  <si>
    <t>Toplam Gelir</t>
  </si>
  <si>
    <t>Toplam Giderler</t>
  </si>
  <si>
    <t>İşaret GR</t>
  </si>
  <si>
    <t>İşaret GE</t>
  </si>
  <si>
    <t>İşaret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</si>
  <si>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</si>
  <si>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</si>
  <si>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</si>
  <si>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</si>
  <si>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</si>
  <si>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</si>
  <si>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</si>
  <si>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</si>
  <si>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</si>
  <si>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</si>
  <si>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</si>
  <si>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</si>
  <si>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Pazartesi</t>
  </si>
  <si>
    <t>Salı</t>
  </si>
  <si>
    <t>Çarşamba</t>
  </si>
  <si>
    <t>Perşembe</t>
  </si>
  <si>
    <t>Cuma</t>
  </si>
  <si>
    <t>Gün</t>
  </si>
  <si>
    <t>Hafta Gün</t>
  </si>
  <si>
    <t>İşaretleyici</t>
  </si>
  <si>
    <t>Etiketler</t>
  </si>
  <si>
    <t>Başlıca Ürün Kategorilerine Göre Satış Dağılımı</t>
  </si>
  <si>
    <t>En İyi 5 Ürün</t>
  </si>
  <si>
    <t>Satış</t>
  </si>
  <si>
    <t>Büşra</t>
  </si>
  <si>
    <t>Ceren</t>
  </si>
  <si>
    <t>Damla</t>
  </si>
  <si>
    <t>Ezgi</t>
  </si>
  <si>
    <t>Nakit Akış Payı</t>
  </si>
  <si>
    <t xml:space="preserve">Nakit Akışı </t>
  </si>
  <si>
    <t>Toplam PZT</t>
  </si>
  <si>
    <t>Toplam SAL</t>
  </si>
  <si>
    <t>Toplam ÇAR</t>
  </si>
  <si>
    <t>Toplam PER</t>
  </si>
  <si>
    <t>Toplam CUM</t>
  </si>
  <si>
    <t>Kâr</t>
  </si>
  <si>
    <t>Yatırım Getiri Oranı</t>
  </si>
  <si>
    <t>Kapanan Satış</t>
  </si>
  <si>
    <t>Toplam Satış Ahmet</t>
  </si>
  <si>
    <t>Toplam Satış Büşra</t>
  </si>
  <si>
    <t>Toplam Satış Ceren</t>
  </si>
  <si>
    <t>Toplam Satış Damla</t>
  </si>
  <si>
    <t>Toplam Satış Ezgi</t>
  </si>
  <si>
    <t>Toplam Gelir Ahmet</t>
  </si>
  <si>
    <t>Toplam Gelir Büşra</t>
  </si>
  <si>
    <t>Toplam Gelir Ceren</t>
  </si>
  <si>
    <t>Toplam Gelir Damla</t>
  </si>
  <si>
    <t>Toplam Gelir Ezgi</t>
  </si>
  <si>
    <t>Ahmet</t>
  </si>
  <si>
    <t>Yatırım Getirisi (YGO)</t>
  </si>
  <si>
    <t>Kapanan Satışlar</t>
  </si>
  <si>
    <t>MD Finansal Gösterge Paneli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</si>
</sst>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₺&quot;* #,##0.00_-;\-&quot;₺&quot;* #,##0.00_-;_-&quot;₺&quot;* &quot;-&quot;??_-;_-@_-"/>
    <numFmt numFmtId="165" formatCode="&quot;₺&quot;#,##0.00"/>
    <numFmt numFmtId="166" formatCode="&quot;₺&quot;#,##0"/>
    <numFmt numFmtId="167" formatCode="#\ ###\ 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6FF6"/>
        <bgColor indexed="64"/>
      </patternFill>
    </fill>
    <fill>
      <patternFill patternType="solid">
        <fgColor rgb="FF002858"/>
        <bgColor indexed="64"/>
      </patternFill>
    </fill>
    <fill>
      <patternFill patternType="solid">
        <fgColor rgb="FF7A4FF0"/>
        <bgColor indexed="64"/>
      </patternFill>
    </fill>
    <fill>
      <patternFill patternType="solid">
        <fgColor rgb="FF60A8FF"/>
        <bgColor indexed="64"/>
      </patternFill>
    </fill>
    <fill>
      <patternFill patternType="solid">
        <fgColor rgb="FF2185FF"/>
        <bgColor indexed="64"/>
      </patternFill>
    </fill>
    <fill>
      <patternFill patternType="solid">
        <fgColor rgb="FF00C6D1"/>
        <bgColor indexed="64"/>
      </patternFill>
    </fill>
    <fill>
      <patternFill patternType="solid">
        <fgColor rgb="FFAEACF5"/>
        <bgColor indexed="64"/>
      </patternFill>
    </fill>
    <fill>
      <patternFill patternType="solid">
        <fgColor rgb="FF4E7AFF"/>
        <bgColor indexed="64"/>
      </patternFill>
    </fill>
    <fill>
      <patternFill patternType="solid">
        <fgColor rgb="FF4552F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pivotButton="1"/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165" fontId="4" fillId="2" borderId="2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165" fontId="0" fillId="0" borderId="0" xfId="0" applyNumberFormat="1"/>
    <xf numFmtId="0" fontId="3" fillId="12" borderId="1" xfId="0" applyFont="1" applyFill="1" applyBorder="1" applyAlignment="1">
      <alignment horizontal="center" vertical="center"/>
    </xf>
    <xf numFmtId="166" fontId="0" fillId="0" borderId="0" xfId="0" applyNumberFormat="1" applyAlignment="1">
      <alignment horizontal="right"/>
    </xf>
    <xf numFmtId="166" fontId="0" fillId="0" borderId="0" xfId="0" applyNumberFormat="1"/>
    <xf numFmtId="9" fontId="0" fillId="0" borderId="0" xfId="2" applyFont="1"/>
    <xf numFmtId="167" fontId="0" fillId="0" borderId="5" xfId="0" applyNumberFormat="1" applyBorder="1"/>
    <xf numFmtId="9" fontId="0" fillId="0" borderId="0" xfId="2" applyFont="1" applyFill="1"/>
    <xf numFmtId="0" fontId="0" fillId="0" borderId="0" xfId="0" applyNumberFormat="1"/>
    <xf numFmtId="0" fontId="0" fillId="13" borderId="0" xfId="0" applyFill="1"/>
  </cellXfs>
  <cellStyles count="3">
    <cellStyle name="Normal" xfId="0" builtinId="0"/>
    <cellStyle name="ParaBirimi" xfId="1" builtinId="4"/>
    <cellStyle name="Yüzde" xfId="2" builtinId="5"/>
  </cellStyles>
  <dxfs count="89">
    <dxf>
      <numFmt numFmtId="165" formatCode="&quot;₺&quot;#,##0.00"/>
    </dxf>
    <dxf>
      <numFmt numFmtId="165" formatCode="&quot;₺&quot;#,##0.00"/>
    </dxf>
    <dxf>
      <numFmt numFmtId="165" formatCode="&quot;₺&quot;#,##0.00"/>
    </dxf>
    <dxf>
      <numFmt numFmtId="165" formatCode="&quot;₺&quot;#,##0.00"/>
    </dxf>
    <dxf>
      <numFmt numFmtId="165" formatCode="&quot;₺&quot;#,##0.00"/>
    </dxf>
    <dxf>
      <numFmt numFmtId="165" formatCode="&quot;₺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5" formatCode="&quot;₺&quot;#,##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1E2255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rgb="FF3B3E79"/>
      </font>
      <fill>
        <patternFill>
          <fgColor theme="0"/>
          <bgColor rgb="FFFFFFFF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11"/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058"/>
        </patternFill>
      </fill>
      <border diagonalUp="0" diagonalDown="0">
        <left/>
        <right/>
        <top/>
        <bottom/>
        <vertical/>
        <horizontal/>
      </border>
    </dxf>
  </dxfs>
  <tableStyles count="31" defaultTableStyle="TableStyleMedium2" defaultPivotStyle="PivotStyleLight16">
    <tableStyle name="Invisible" pivot="0" table="0" count="0" xr9:uid="{1CAF192F-4D43-41CF-A770-F7D105591A07}"/>
    <tableStyle name="SlicerStyleLight1 2" pivot="0" table="0" count="10" xr9:uid="{E38AD8C2-959F-416E-842E-3A8208DD3CA0}">
      <tableStyleElement type="wholeTable" dxfId="88"/>
      <tableStyleElement type="headerRow" dxfId="87"/>
    </tableStyle>
    <tableStyle name="SlicerStyleLight1 2 10" pivot="0" table="0" count="10" xr9:uid="{F4EA07B5-B7B8-4921-B20E-9E57A07DF12E}">
      <tableStyleElement type="wholeTable" dxfId="86"/>
      <tableStyleElement type="headerRow" dxfId="85"/>
    </tableStyle>
    <tableStyle name="SlicerStyleLight1 2 11" pivot="0" table="0" count="10" xr9:uid="{6C362363-EA0E-4AE3-A588-F00D6AC24FF9}">
      <tableStyleElement type="wholeTable" dxfId="84"/>
      <tableStyleElement type="headerRow" dxfId="83"/>
    </tableStyle>
    <tableStyle name="SlicerStyleLight1 2 12" pivot="0" table="0" count="10" xr9:uid="{A255C0E4-6695-47BB-8C2D-6B98A1EA817A}">
      <tableStyleElement type="wholeTable" dxfId="82"/>
      <tableStyleElement type="headerRow" dxfId="81"/>
    </tableStyle>
    <tableStyle name="SlicerStyleLight1 2 13" pivot="0" table="0" count="10" xr9:uid="{BBF43D6D-3792-41CD-A339-54CA65CE2B0C}">
      <tableStyleElement type="wholeTable" dxfId="80"/>
      <tableStyleElement type="headerRow" dxfId="79"/>
    </tableStyle>
    <tableStyle name="SlicerStyleLight1 2 14" pivot="0" table="0" count="10" xr9:uid="{6D903DD6-3EE8-4DF2-9077-511D2A2D9EEE}">
      <tableStyleElement type="wholeTable" dxfId="78"/>
      <tableStyleElement type="headerRow" dxfId="77"/>
    </tableStyle>
    <tableStyle name="SlicerStyleLight1 2 15" pivot="0" table="0" count="10" xr9:uid="{89547F3D-75F7-4323-B217-A2DED22BA8A1}">
      <tableStyleElement type="wholeTable" dxfId="76"/>
      <tableStyleElement type="headerRow" dxfId="75"/>
    </tableStyle>
    <tableStyle name="SlicerStyleLight1 2 15 2" pivot="0" table="0" count="10" xr9:uid="{708ED5FE-A75F-49D1-88B4-5F6CA4FB8164}">
      <tableStyleElement type="wholeTable" dxfId="74"/>
      <tableStyleElement type="headerRow" dxfId="73"/>
    </tableStyle>
    <tableStyle name="SlicerStyleLight1 2 16" pivot="0" table="0" count="10" xr9:uid="{62755AE4-9CAE-4FDE-89CF-83AA5DCEC2CD}">
      <tableStyleElement type="wholeTable" dxfId="72"/>
      <tableStyleElement type="headerRow" dxfId="71"/>
    </tableStyle>
    <tableStyle name="SlicerStyleLight1 2 2" pivot="0" table="0" count="10" xr9:uid="{04D78482-BBC3-4D59-A6E1-453CBB78140A}">
      <tableStyleElement type="wholeTable" dxfId="70"/>
      <tableStyleElement type="headerRow" dxfId="69"/>
    </tableStyle>
    <tableStyle name="SlicerStyleLight1 2 2 10" pivot="0" table="0" count="10" xr9:uid="{A4CA3A8F-9306-4874-BAC3-EAD8256FF023}">
      <tableStyleElement type="wholeTable" dxfId="68"/>
      <tableStyleElement type="headerRow" dxfId="67"/>
    </tableStyle>
    <tableStyle name="SlicerStyleLight1 2 2 11" pivot="0" table="0" count="10" xr9:uid="{E825FD34-C4C1-4726-8A02-7F45D26BBB87}">
      <tableStyleElement type="wholeTable" dxfId="66"/>
      <tableStyleElement type="headerRow" dxfId="65"/>
    </tableStyle>
    <tableStyle name="SlicerStyleLight1 2 2 12" pivot="0" table="0" count="10" xr9:uid="{3399A6AA-D545-40A7-AD8F-3C5DA4714FD2}">
      <tableStyleElement type="wholeTable" dxfId="64"/>
      <tableStyleElement type="headerRow" dxfId="63"/>
    </tableStyle>
    <tableStyle name="SlicerStyleLight1 2 2 2" pivot="0" table="0" count="10" xr9:uid="{65F66911-A1F5-4DD3-BDDD-BBD0F4DB3ABE}">
      <tableStyleElement type="wholeTable" dxfId="62"/>
      <tableStyleElement type="headerRow" dxfId="61"/>
    </tableStyle>
    <tableStyle name="SlicerStyleLight1 2 2 3" pivot="0" table="0" count="10" xr9:uid="{BD23418F-E720-4502-807B-9C063DB673BB}">
      <tableStyleElement type="wholeTable" dxfId="60"/>
      <tableStyleElement type="headerRow" dxfId="59"/>
    </tableStyle>
    <tableStyle name="SlicerStyleLight1 2 2 4" pivot="0" table="0" count="10" xr9:uid="{3D3A258F-449D-4BC6-9019-767584D88AD6}">
      <tableStyleElement type="wholeTable" dxfId="58"/>
      <tableStyleElement type="headerRow" dxfId="57"/>
    </tableStyle>
    <tableStyle name="SlicerStyleLight1 2 2 5" pivot="0" table="0" count="10" xr9:uid="{77434861-B11F-44FA-A16B-E21CE3E015FA}">
      <tableStyleElement type="wholeTable" dxfId="56"/>
      <tableStyleElement type="headerRow" dxfId="55"/>
    </tableStyle>
    <tableStyle name="SlicerStyleLight1 2 2 6" pivot="0" table="0" count="10" xr9:uid="{BA7F5565-22A8-48EF-8760-5A6C1CE66F13}">
      <tableStyleElement type="wholeTable" dxfId="54"/>
      <tableStyleElement type="headerRow" dxfId="53"/>
    </tableStyle>
    <tableStyle name="SlicerStyleLight1 2 2 7" pivot="0" table="0" count="10" xr9:uid="{F39EFA71-F98B-4A8B-A8B1-84D6E1A1FC2A}">
      <tableStyleElement type="wholeTable" dxfId="52"/>
      <tableStyleElement type="headerRow" dxfId="51"/>
    </tableStyle>
    <tableStyle name="SlicerStyleLight1 2 2 8" pivot="0" table="0" count="10" xr9:uid="{0D415406-A1C7-4C60-886D-03147DDCB863}">
      <tableStyleElement type="wholeTable" dxfId="50"/>
      <tableStyleElement type="headerRow" dxfId="49"/>
    </tableStyle>
    <tableStyle name="SlicerStyleLight1 2 2 9" pivot="0" table="0" count="10" xr9:uid="{B4BF3005-D060-4C92-8784-F61B06196425}">
      <tableStyleElement type="wholeTable" dxfId="48"/>
      <tableStyleElement type="headerRow" dxfId="47"/>
    </tableStyle>
    <tableStyle name="SlicerStyleLight1 2 3" pivot="0" table="0" count="10" xr9:uid="{0C01B3CD-0876-49C8-81B1-49876BB6448F}">
      <tableStyleElement type="wholeTable" dxfId="46"/>
      <tableStyleElement type="headerRow" dxfId="45"/>
    </tableStyle>
    <tableStyle name="SlicerStyleLight1 2 4" pivot="0" table="0" count="10" xr9:uid="{3D6E468D-22C4-493F-9487-B97E2BEDE6C0}">
      <tableStyleElement type="wholeTable" dxfId="44"/>
      <tableStyleElement type="headerRow" dxfId="43"/>
    </tableStyle>
    <tableStyle name="SlicerStyleLight1 2 5" pivot="0" table="0" count="10" xr9:uid="{DA1D3B72-5986-4DE2-9D61-945DD7780E96}">
      <tableStyleElement type="wholeTable" dxfId="42"/>
      <tableStyleElement type="headerRow" dxfId="41"/>
    </tableStyle>
    <tableStyle name="SlicerStyleLight1 2 6" pivot="0" table="0" count="10" xr9:uid="{E4BF164A-CCB5-4686-800A-F8674B7855B4}">
      <tableStyleElement type="wholeTable" dxfId="40"/>
      <tableStyleElement type="headerRow" dxfId="39"/>
    </tableStyle>
    <tableStyle name="SlicerStyleLight1 2 7" pivot="0" table="0" count="10" xr9:uid="{6D063D68-46F1-4AF9-9F1D-93A7840F0411}">
      <tableStyleElement type="wholeTable" dxfId="38"/>
      <tableStyleElement type="headerRow" dxfId="37"/>
    </tableStyle>
    <tableStyle name="SlicerStyleLight1 2 8" pivot="0" table="0" count="10" xr9:uid="{1D717AD2-E13B-4DAC-9FE6-3EB468EECAC0}">
      <tableStyleElement type="wholeTable" dxfId="36"/>
      <tableStyleElement type="headerRow" dxfId="35"/>
    </tableStyle>
    <tableStyle name="SlicerStyleLight1 2 9" pivot="0" table="0" count="10" xr9:uid="{D672825F-562A-41CF-B38E-920FC54454F8}">
      <tableStyleElement type="wholeTable" dxfId="34"/>
      <tableStyleElement type="headerRow" dxfId="33"/>
    </tableStyle>
    <tableStyle name="SlicerStyleLight1 2 9 2" pivot="0" table="0" count="10" xr9:uid="{026DFF6B-1A6E-4CE4-9FCF-65EDBF5D16AE}">
      <tableStyleElement type="wholeTable" dxfId="32"/>
      <tableStyleElement type="headerRow" dxfId="31"/>
    </tableStyle>
    <tableStyle name="SlicerStyleLight1 3" pivot="0" table="0" count="10" xr9:uid="{3C9B272A-1A4D-48EE-999D-B9F54852B041}">
      <tableStyleElement type="wholeTable" dxfId="30"/>
      <tableStyleElement type="headerRow" dxfId="29"/>
    </tableStyle>
  </tableStyles>
  <colors>
    <mruColors>
      <color rgb="FF00C6D1"/>
      <color rgb="FFEE0078"/>
      <color rgb="FFF17EEC"/>
      <color rgb="FF000000"/>
      <color rgb="FFFFFFFF"/>
      <color rgb="FF3B3E79"/>
      <color rgb="FF4552F1"/>
      <color rgb="FF24264C"/>
      <color rgb="FF292B55"/>
      <color rgb="FF313365"/>
    </mruColors>
  </colors>
  <extLst>
    <ext xmlns:x14="http://schemas.microsoft.com/office/spreadsheetml/2009/9/main" uri="{46F421CA-312F-682f-3DD2-61675219B42D}">
      <x14:dxfs count="240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0"/>
              <bgColor theme="4" tint="0.79995117038483843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gradientFill degree="90">
              <stop position="0">
                <color rgb="FF00B0F0"/>
              </stop>
              <stop position="1">
                <color rgb="FF5520EC"/>
              </stop>
            </gradient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90">
              <stop position="0">
                <color rgb="FF00B0F0"/>
              </stop>
              <stop position="1">
                <color rgb="FF7A4FF0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0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0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0"/>
            <color theme="0"/>
          </font>
          <fill>
            <gradientFill degree="270">
              <stop position="0">
                <color rgb="FF00B0F0"/>
              </stop>
              <stop position="1">
                <color rgb="FF7A4FF0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10"/>
            <color rgb="FFA2ADBE"/>
          </font>
          <fill>
            <patternFill patternType="solid">
              <fgColor auto="1"/>
              <bgColor rgb="FF2F35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gradientFill degree="270">
              <stop position="0">
                <color rgb="FF8137BF"/>
              </stop>
              <stop position="1">
                <color rgb="FF568DF9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A2ADBE"/>
          </font>
          <fill>
            <patternFill patternType="solid">
              <fgColor auto="1"/>
              <bgColor rgb="FF232D6B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239"/>
            <x14:slicerStyleElement type="unselectedItemWithNoData" dxfId="238"/>
            <x14:slicerStyleElement type="selectedItemWithData" dxfId="237"/>
            <x14:slicerStyleElement type="selectedItemWithNoData" dxfId="236"/>
            <x14:slicerStyleElement type="hoveredUnselectedItemWithData" dxfId="235"/>
            <x14:slicerStyleElement type="hoveredSelectedItemWithData" dxfId="234"/>
            <x14:slicerStyleElement type="hoveredUnselectedItemWithNoData" dxfId="233"/>
            <x14:slicerStyleElement type="hoveredSelectedItemWithNoData" dxfId="232"/>
          </x14:slicerStyleElements>
        </x14:slicerStyle>
        <x14:slicerStyle name="SlicerStyleLight1 2 10">
          <x14:slicerStyleElements>
            <x14:slicerStyleElement type="unselectedItemWithData" dxfId="231"/>
            <x14:slicerStyleElement type="unselectedItemWithNoData" dxfId="230"/>
            <x14:slicerStyleElement type="selectedItemWithData" dxfId="229"/>
            <x14:slicerStyleElement type="selectedItemWithNoData" dxfId="228"/>
            <x14:slicerStyleElement type="hoveredUnselectedItemWithData" dxfId="227"/>
            <x14:slicerStyleElement type="hoveredSelectedItemWithData" dxfId="226"/>
            <x14:slicerStyleElement type="hoveredUnselectedItemWithNoData" dxfId="225"/>
            <x14:slicerStyleElement type="hoveredSelectedItemWithNoData" dxfId="224"/>
          </x14:slicerStyleElements>
        </x14:slicerStyle>
        <x14:slicerStyle name="SlicerStyleLight1 2 11">
          <x14:slicerStyleElements>
            <x14:slicerStyleElement type="unselectedItemWithData" dxfId="223"/>
            <x14:slicerStyleElement type="unselectedItemWithNoData" dxfId="222"/>
            <x14:slicerStyleElement type="selectedItemWithData" dxfId="221"/>
            <x14:slicerStyleElement type="selectedItemWithNoData" dxfId="220"/>
            <x14:slicerStyleElement type="hoveredUnselectedItemWithData" dxfId="219"/>
            <x14:slicerStyleElement type="hoveredSelectedItemWithData" dxfId="218"/>
            <x14:slicerStyleElement type="hoveredUnselectedItemWithNoData" dxfId="217"/>
            <x14:slicerStyleElement type="hoveredSelectedItemWithNoData" dxfId="216"/>
          </x14:slicerStyleElements>
        </x14:slicerStyle>
        <x14:slicerStyle name="SlicerStyleLight1 2 12">
          <x14:slicerStyleElements>
            <x14:slicerStyleElement type="unselectedItemWithData" dxfId="215"/>
            <x14:slicerStyleElement type="unselectedItemWithNoData" dxfId="214"/>
            <x14:slicerStyleElement type="selectedItemWithData" dxfId="213"/>
            <x14:slicerStyleElement type="selectedItemWithNoData" dxfId="212"/>
            <x14:slicerStyleElement type="hoveredUnselectedItemWithData" dxfId="211"/>
            <x14:slicerStyleElement type="hoveredSelectedItemWithData" dxfId="210"/>
            <x14:slicerStyleElement type="hoveredUnselectedItemWithNoData" dxfId="209"/>
            <x14:slicerStyleElement type="hoveredSelectedItemWithNoData" dxfId="208"/>
          </x14:slicerStyleElements>
        </x14:slicerStyle>
        <x14:slicerStyle name="SlicerStyleLight1 2 13">
          <x14:slicerStyleElements>
            <x14:slicerStyleElement type="unselectedItemWithData" dxfId="207"/>
            <x14:slicerStyleElement type="unselectedItemWithNoData" dxfId="206"/>
            <x14:slicerStyleElement type="selectedItemWithData" dxfId="205"/>
            <x14:slicerStyleElement type="selectedItemWithNoData" dxfId="204"/>
            <x14:slicerStyleElement type="hoveredUnselectedItemWithData" dxfId="203"/>
            <x14:slicerStyleElement type="hoveredSelectedItemWithData" dxfId="202"/>
            <x14:slicerStyleElement type="hoveredUnselectedItemWithNoData" dxfId="201"/>
            <x14:slicerStyleElement type="hoveredSelectedItemWithNoData" dxfId="200"/>
          </x14:slicerStyleElements>
        </x14:slicerStyle>
        <x14:slicerStyle name="SlicerStyleLight1 2 14">
          <x14:slicerStyleElements>
            <x14:slicerStyleElement type="unselectedItemWithData" dxfId="199"/>
            <x14:slicerStyleElement type="unselectedItemWithNoData" dxfId="198"/>
            <x14:slicerStyleElement type="selectedItemWithData" dxfId="197"/>
            <x14:slicerStyleElement type="selectedItemWithNoData" dxfId="196"/>
            <x14:slicerStyleElement type="hoveredUnselectedItemWithData" dxfId="195"/>
            <x14:slicerStyleElement type="hoveredSelectedItemWithData" dxfId="194"/>
            <x14:slicerStyleElement type="hoveredUnselectedItemWithNoData" dxfId="193"/>
            <x14:slicerStyleElement type="hoveredSelectedItemWithNoData" dxfId="192"/>
          </x14:slicerStyleElements>
        </x14:slicerStyle>
        <x14:slicerStyle name="SlicerStyleLight1 2 15">
          <x14:slicerStyleElements>
            <x14:slicerStyleElement type="unselectedItemWithData" dxfId="191"/>
            <x14:slicerStyleElement type="unselectedItemWithNoData" dxfId="190"/>
            <x14:slicerStyleElement type="selectedItemWithData" dxfId="189"/>
            <x14:slicerStyleElement type="selectedItemWithNoData" dxfId="188"/>
            <x14:slicerStyleElement type="hoveredUnselectedItemWithData" dxfId="187"/>
            <x14:slicerStyleElement type="hoveredSelectedItemWithData" dxfId="186"/>
            <x14:slicerStyleElement type="hoveredUnselectedItemWithNoData" dxfId="185"/>
            <x14:slicerStyleElement type="hoveredSelectedItemWithNoData" dxfId="184"/>
          </x14:slicerStyleElements>
        </x14:slicerStyle>
        <x14:slicerStyle name="SlicerStyleLight1 2 15 2">
          <x14:slicerStyleElements>
            <x14:slicerStyleElement type="unselectedItemWithData" dxfId="183"/>
            <x14:slicerStyleElement type="unselectedItemWithNoData" dxfId="182"/>
            <x14:slicerStyleElement type="selectedItemWithData" dxfId="181"/>
            <x14:slicerStyleElement type="selectedItemWithNoData" dxfId="180"/>
            <x14:slicerStyleElement type="hoveredUnselectedItemWithData" dxfId="179"/>
            <x14:slicerStyleElement type="hoveredSelectedItemWithData" dxfId="178"/>
            <x14:slicerStyleElement type="hoveredUnselectedItemWithNoData" dxfId="177"/>
            <x14:slicerStyleElement type="hoveredSelectedItemWithNoData" dxfId="176"/>
          </x14:slicerStyleElements>
        </x14:slicerStyle>
        <x14:slicerStyle name="SlicerStyleLight1 2 16">
          <x14:slicerStyleElements>
            <x14:slicerStyleElement type="unselectedItemWithData" dxfId="175"/>
            <x14:slicerStyleElement type="unselectedItemWithNoData" dxfId="174"/>
            <x14:slicerStyleElement type="selectedItemWithData" dxfId="173"/>
            <x14:slicerStyleElement type="selectedItemWithNoData" dxfId="172"/>
            <x14:slicerStyleElement type="hoveredUnselectedItemWithData" dxfId="171"/>
            <x14:slicerStyleElement type="hoveredSelectedItemWithData" dxfId="170"/>
            <x14:slicerStyleElement type="hoveredUnselectedItemWithNoData" dxfId="169"/>
            <x14:slicerStyleElement type="hoveredSelectedItemWithNoData" dxfId="168"/>
          </x14:slicerStyleElements>
        </x14:slicerStyle>
        <x14:slicerStyle name="SlicerStyleLight1 2 2">
          <x14:slicerStyleElements>
            <x14:slicerStyleElement type="unselectedItemWithData" dxfId="167"/>
            <x14:slicerStyleElement type="unselectedItemWithNoData" dxfId="166"/>
            <x14:slicerStyleElement type="selectedItemWithData" dxfId="165"/>
            <x14:slicerStyleElement type="selectedItemWithNoData" dxfId="164"/>
            <x14:slicerStyleElement type="hoveredUnselectedItemWithData" dxfId="163"/>
            <x14:slicerStyleElement type="hoveredSelectedItemWithData" dxfId="162"/>
            <x14:slicerStyleElement type="hoveredUnselectedItemWithNoData" dxfId="161"/>
            <x14:slicerStyleElement type="hoveredSelectedItemWithNoData" dxfId="160"/>
          </x14:slicerStyleElements>
        </x14:slicerStyle>
        <x14:slicerStyle name="SlicerStyleLight1 2 2 10">
          <x14:slicerStyleElements>
            <x14:slicerStyleElement type="unselectedItemWithData" dxfId="159"/>
            <x14:slicerStyleElement type="unselectedItemWithNoData" dxfId="158"/>
            <x14:slicerStyleElement type="selectedItemWithData" dxfId="157"/>
            <x14:slicerStyleElement type="selectedItemWithNoData" dxfId="156"/>
            <x14:slicerStyleElement type="hoveredUnselectedItemWithData" dxfId="155"/>
            <x14:slicerStyleElement type="hoveredSelectedItemWithData" dxfId="154"/>
            <x14:slicerStyleElement type="hoveredUnselectedItemWithNoData" dxfId="153"/>
            <x14:slicerStyleElement type="hoveredSelectedItemWithNoData" dxfId="152"/>
          </x14:slicerStyleElements>
        </x14:slicerStyle>
        <x14:slicerStyle name="SlicerStyleLight1 2 2 11">
          <x14:slicerStyleElements>
            <x14:slicerStyleElement type="unselectedItemWithData" dxfId="151"/>
            <x14:slicerStyleElement type="unselectedItemWithNoData" dxfId="150"/>
            <x14:slicerStyleElement type="selectedItemWithData" dxfId="149"/>
            <x14:slicerStyleElement type="selectedItemWithNoData" dxfId="148"/>
            <x14:slicerStyleElement type="hoveredUnselectedItemWithData" dxfId="147"/>
            <x14:slicerStyleElement type="hoveredSelectedItemWithData" dxfId="146"/>
            <x14:slicerStyleElement type="hoveredUnselectedItemWithNoData" dxfId="145"/>
            <x14:slicerStyleElement type="hoveredSelectedItemWithNoData" dxfId="144"/>
          </x14:slicerStyleElements>
        </x14:slicerStyle>
        <x14:slicerStyle name="SlicerStyleLight1 2 2 12">
          <x14:slicerStyleElements>
            <x14:slicerStyleElement type="unselectedItemWithData" dxfId="143"/>
            <x14:slicerStyleElement type="unselectedItemWithNoData" dxfId="142"/>
            <x14:slicerStyleElement type="selectedItemWithData" dxfId="141"/>
            <x14:slicerStyleElement type="selectedItemWithNoData" dxfId="140"/>
            <x14:slicerStyleElement type="hoveredUnselectedItemWithData" dxfId="139"/>
            <x14:slicerStyleElement type="hoveredSelectedItemWithData" dxfId="138"/>
            <x14:slicerStyleElement type="hoveredUnselectedItemWithNoData" dxfId="137"/>
            <x14:slicerStyleElement type="hoveredSelectedItemWithNoData" dxfId="136"/>
          </x14:slicerStyleElements>
        </x14:slicerStyle>
        <x14:slicerStyle name="SlicerStyleLight1 2 2 2">
          <x14:slicerStyleElements>
            <x14:slicerStyleElement type="unselectedItemWithData" dxfId="135"/>
            <x14:slicerStyleElement type="unselectedItemWithNoData" dxfId="134"/>
            <x14:slicerStyleElement type="selectedItemWithData" dxfId="133"/>
            <x14:slicerStyleElement type="selectedItemWithNoData" dxfId="132"/>
            <x14:slicerStyleElement type="hoveredUnselectedItemWithData" dxfId="131"/>
            <x14:slicerStyleElement type="hoveredSelectedItemWithData" dxfId="130"/>
            <x14:slicerStyleElement type="hoveredUnselectedItemWithNoData" dxfId="129"/>
            <x14:slicerStyleElement type="hoveredSelectedItemWithNoData" dxfId="128"/>
          </x14:slicerStyleElements>
        </x14:slicerStyle>
        <x14:slicerStyle name="SlicerStyleLight1 2 2 3">
          <x14:slicerStyleElements>
            <x14:slicerStyleElement type="unselectedItemWithData" dxfId="127"/>
            <x14:slicerStyleElement type="unselectedItemWithNoData" dxfId="126"/>
            <x14:slicerStyleElement type="selectedItemWithData" dxfId="125"/>
            <x14:slicerStyleElement type="selectedItemWithNoData" dxfId="124"/>
            <x14:slicerStyleElement type="hoveredUnselectedItemWithData" dxfId="123"/>
            <x14:slicerStyleElement type="hoveredSelectedItemWithData" dxfId="122"/>
            <x14:slicerStyleElement type="hoveredUnselectedItemWithNoData" dxfId="121"/>
            <x14:slicerStyleElement type="hoveredSelectedItemWithNoData" dxfId="120"/>
          </x14:slicerStyleElements>
        </x14:slicerStyle>
        <x14:slicerStyle name="SlicerStyleLight1 2 2 4">
          <x14:slicerStyleElements>
            <x14:slicerStyleElement type="unselectedItemWithData" dxfId="119"/>
            <x14:slicerStyleElement type="unselectedItemWithNoData" dxfId="118"/>
            <x14:slicerStyleElement type="selectedItemWithData" dxfId="117"/>
            <x14:slicerStyleElement type="selectedItemWithNoData" dxfId="116"/>
            <x14:slicerStyleElement type="hoveredUnselectedItemWithData" dxfId="115"/>
            <x14:slicerStyleElement type="hoveredSelectedItemWithData" dxfId="114"/>
            <x14:slicerStyleElement type="hoveredUnselectedItemWithNoData" dxfId="113"/>
            <x14:slicerStyleElement type="hoveredSelectedItemWithNoData" dxfId="112"/>
          </x14:slicerStyleElements>
        </x14:slicerStyle>
        <x14:slicerStyle name="SlicerStyleLight1 2 2 5">
          <x14:slicerStyleElements>
            <x14:slicerStyleElement type="unselectedItemWithData" dxfId="111"/>
            <x14:slicerStyleElement type="unselectedItemWithNoData" dxfId="110"/>
            <x14:slicerStyleElement type="selectedItemWithData" dxfId="109"/>
            <x14:slicerStyleElement type="selectedItemWithNoData" dxfId="108"/>
            <x14:slicerStyleElement type="hoveredUnselectedItemWithData" dxfId="107"/>
            <x14:slicerStyleElement type="hoveredSelectedItemWithData" dxfId="106"/>
            <x14:slicerStyleElement type="hoveredUnselectedItemWithNoData" dxfId="105"/>
            <x14:slicerStyleElement type="hoveredSelectedItemWithNoData" dxfId="104"/>
          </x14:slicerStyleElements>
        </x14:slicerStyle>
        <x14:slicerStyle name="SlicerStyleLight1 2 2 6">
          <x14:slicerStyleElements>
            <x14:slicerStyleElement type="unselectedItemWithData" dxfId="103"/>
            <x14:slicerStyleElement type="unselectedItemWithNoData" dxfId="102"/>
            <x14:slicerStyleElement type="selectedItemWithData" dxfId="101"/>
            <x14:slicerStyleElement type="selectedItemWithNoData" dxfId="100"/>
            <x14:slicerStyleElement type="hoveredUnselectedItemWithData" dxfId="99"/>
            <x14:slicerStyleElement type="hoveredSelectedItemWithData" dxfId="98"/>
            <x14:slicerStyleElement type="hoveredUnselectedItemWithNoData" dxfId="97"/>
            <x14:slicerStyleElement type="hoveredSelectedItemWithNoData" dxfId="96"/>
          </x14:slicerStyleElements>
        </x14:slicerStyle>
        <x14:slicerStyle name="SlicerStyleLight1 2 2 7">
          <x14:slicerStyleElements>
            <x14:slicerStyleElement type="unselectedItemWithData" dxfId="95"/>
            <x14:slicerStyleElement type="unselectedItemWithNoData" dxfId="94"/>
            <x14:slicerStyleElement type="selectedItemWithData" dxfId="93"/>
            <x14:slicerStyleElement type="selectedItemWithNoData" dxfId="92"/>
            <x14:slicerStyleElement type="hoveredUnselectedItemWithData" dxfId="91"/>
            <x14:slicerStyleElement type="hoveredSelectedItemWithData" dxfId="90"/>
            <x14:slicerStyleElement type="hoveredUnselectedItemWithNoData" dxfId="89"/>
            <x14:slicerStyleElement type="hoveredSelectedItemWithNoData" dxfId="88"/>
          </x14:slicerStyleElements>
        </x14:slicerStyle>
        <x14:slicerStyle name="SlicerStyleLight1 2 2 8">
          <x14:slicerStyleElements>
            <x14:slicerStyleElement type="unselectedItemWithData" dxfId="87"/>
            <x14:slicerStyleElement type="unselectedItemWithNoData" dxfId="86"/>
            <x14:slicerStyleElement type="selectedItemWithData" dxfId="85"/>
            <x14:slicerStyleElement type="selectedItemWithNoData" dxfId="84"/>
            <x14:slicerStyleElement type="hoveredUnselectedItemWithData" dxfId="83"/>
            <x14:slicerStyleElement type="hoveredSelectedItemWithData" dxfId="82"/>
            <x14:slicerStyleElement type="hoveredUnselectedItemWithNoData" dxfId="81"/>
            <x14:slicerStyleElement type="hoveredSelectedItemWithNoData" dxfId="80"/>
          </x14:slicerStyleElements>
        </x14:slicerStyle>
        <x14:slicerStyle name="SlicerStyleLight1 2 2 9">
          <x14:slicerStyleElements>
            <x14:slicerStyleElement type="unselectedItemWithData" dxfId="79"/>
            <x14:slicerStyleElement type="unselectedItemWithNoData" dxfId="78"/>
            <x14:slicerStyleElement type="selectedItemWithData" dxfId="77"/>
            <x14:slicerStyleElement type="selectedItemWithNoData" dxfId="76"/>
            <x14:slicerStyleElement type="hoveredUnselectedItemWithData" dxfId="75"/>
            <x14:slicerStyleElement type="hoveredSelectedItemWithData" dxfId="74"/>
            <x14:slicerStyleElement type="hoveredUnselectedItemWithNoData" dxfId="73"/>
            <x14:slicerStyleElement type="hoveredSelectedItemWithNoData" dxfId="72"/>
          </x14:slicerStyleElements>
        </x14:slicerStyle>
        <x14:slicerStyle name="SlicerStyleLight1 2 3">
          <x14:slicerStyleElements>
            <x14:slicerStyleElement type="unselectedItemWithData" dxfId="71"/>
            <x14:slicerStyleElement type="unselectedItemWithNoData" dxfId="70"/>
            <x14:slicerStyleElement type="selectedItemWithData" dxfId="69"/>
            <x14:slicerStyleElement type="selectedItemWithNoData" dxfId="68"/>
            <x14:slicerStyleElement type="hoveredUnselectedItemWithData" dxfId="67"/>
            <x14:slicerStyleElement type="hoveredSelectedItemWithData" dxfId="66"/>
            <x14:slicerStyleElement type="hoveredUnselectedItemWithNoData" dxfId="65"/>
            <x14:slicerStyleElement type="hoveredSelectedItemWithNoData" dxfId="64"/>
          </x14:slicerStyleElements>
        </x14:slicerStyle>
        <x14:slicerStyle name="SlicerStyleLight1 2 4">
          <x14:slicerStyleElements>
            <x14:slicerStyleElement type="unselectedItemWithData" dxfId="63"/>
            <x14:slicerStyleElement type="unselectedItemWithNoData" dxfId="62"/>
            <x14:slicerStyleElement type="selectedItemWithData" dxfId="61"/>
            <x14:slicerStyleElement type="selectedItemWithNoData" dxfId="60"/>
            <x14:slicerStyleElement type="hoveredUnselectedItemWithData" dxfId="59"/>
            <x14:slicerStyleElement type="hoveredSelectedItemWithData" dxfId="58"/>
            <x14:slicerStyleElement type="hoveredUnselectedItemWithNoData" dxfId="57"/>
            <x14:slicerStyleElement type="hoveredSelectedItemWithNoData" dxfId="56"/>
          </x14:slicerStyleElements>
        </x14:slicerStyle>
        <x14:slicerStyle name="SlicerStyleLight1 2 5">
          <x14:slicerStyleElements>
            <x14:slicerStyleElement type="unselectedItemWithData" dxfId="55"/>
            <x14:slicerStyleElement type="unselectedItemWithNoData" dxfId="54"/>
            <x14:slicerStyleElement type="selectedItemWithData" dxfId="53"/>
            <x14:slicerStyleElement type="selectedItemWithNoData" dxfId="52"/>
            <x14:slicerStyleElement type="hoveredUnselectedItemWithData" dxfId="51"/>
            <x14:slicerStyleElement type="hoveredSelectedItemWithData" dxfId="50"/>
            <x14:slicerStyleElement type="hoveredUnselectedItemWithNoData" dxfId="49"/>
            <x14:slicerStyleElement type="hoveredSelectedItemWithNoData" dxfId="48"/>
          </x14:slicerStyleElements>
        </x14:slicerStyle>
        <x14:slicerStyle name="SlicerStyleLight1 2 6">
          <x14:slicerStyleElements>
            <x14:slicerStyleElement type="unselectedItemWithData" dxfId="47"/>
            <x14:slicerStyleElement type="unselectedItemWithNoData" dxfId="46"/>
            <x14:slicerStyleElement type="selectedItemWithData" dxfId="45"/>
            <x14:slicerStyleElement type="selectedItemWithNoData" dxfId="44"/>
            <x14:slicerStyleElement type="hoveredUnselectedItemWithData" dxfId="43"/>
            <x14:slicerStyleElement type="hoveredSelectedItemWithData" dxfId="42"/>
            <x14:slicerStyleElement type="hoveredUnselectedItemWithNoData" dxfId="41"/>
            <x14:slicerStyleElement type="hoveredSelectedItemWithNoData" dxfId="40"/>
          </x14:slicerStyleElements>
        </x14:slicerStyle>
        <x14:slicerStyle name="SlicerStyleLight1 2 7">
          <x14:slicerStyleElements>
            <x14:slicerStyleElement type="unselectedItemWithData" dxfId="39"/>
            <x14:slicerStyleElement type="unselectedItemWithNoData" dxfId="38"/>
            <x14:slicerStyleElement type="selectedItemWithData" dxfId="37"/>
            <x14:slicerStyleElement type="selectedItemWithNoData" dxfId="36"/>
            <x14:slicerStyleElement type="hoveredUnselectedItemWithData" dxfId="35"/>
            <x14:slicerStyleElement type="hoveredSelectedItemWithData" dxfId="34"/>
            <x14:slicerStyleElement type="hoveredUnselectedItemWithNoData" dxfId="33"/>
            <x14:slicerStyleElement type="hoveredSelectedItemWithNoData" dxfId="32"/>
          </x14:slicerStyleElements>
        </x14:slicerStyle>
        <x14:slicerStyle name="SlicerStyleLight1 2 8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Light1 2 9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 9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awei 0" refreshedDate="45905.05012349537" createdVersion="8" refreshedVersion="8" minRefreshableVersion="3" recordCount="36" xr:uid="{3F470242-9E34-4082-9953-150A119951BF}">
  <cacheSource type="worksheet">
    <worksheetSource name="Tablo1"/>
  </cacheSource>
  <cacheFields count="21">
    <cacheField name="Yıl" numFmtId="0">
      <sharedItems containsSemiMixedTypes="0" containsString="0" containsNumber="1" containsInteger="1" minValue="2026" maxValue="2028" count="3">
        <n v="2026"/>
        <n v="2027"/>
        <n v="2028"/>
      </sharedItems>
    </cacheField>
    <cacheField name="Ay" numFmtId="0">
      <sharedItems count="12">
        <s v="OCA"/>
        <s v="ŞUB"/>
        <s v="MAR"/>
        <s v="NİS"/>
        <s v="MAY"/>
        <s v="HAZ"/>
        <s v="TEM"/>
        <s v="AĞU"/>
        <s v="EYL"/>
        <s v="EKİ"/>
        <s v="KAS"/>
        <s v="ARA"/>
      </sharedItems>
    </cacheField>
    <cacheField name="Yatırımlar" numFmtId="0">
      <sharedItems containsSemiMixedTypes="0" containsString="0" containsNumber="1" containsInteger="1" minValue="23093" maxValue="109735"/>
    </cacheField>
    <cacheField name="Satış Hacmi" numFmtId="0">
      <sharedItems containsSemiMixedTypes="0" containsString="0" containsNumber="1" containsInteger="1" minValue="33543" maxValue="114510"/>
    </cacheField>
    <cacheField name="Gelir" numFmtId="0">
      <sharedItems containsSemiMixedTypes="0" containsString="0" containsNumber="1" containsInteger="1" minValue="31175" maxValue="153629"/>
    </cacheField>
    <cacheField name="Giderler" numFmtId="0">
      <sharedItems containsSemiMixedTypes="0" containsString="0" containsNumber="1" containsInteger="1" minValue="16760" maxValue="128340"/>
    </cacheField>
    <cacheField name="PZT" numFmtId="0">
      <sharedItems containsSemiMixedTypes="0" containsString="0" containsNumber="1" containsInteger="1" minValue="263" maxValue="4362"/>
    </cacheField>
    <cacheField name="SAL" numFmtId="0">
      <sharedItems containsSemiMixedTypes="0" containsString="0" containsNumber="1" containsInteger="1" minValue="647" maxValue="7805"/>
    </cacheField>
    <cacheField name="ÇAR" numFmtId="0">
      <sharedItems containsSemiMixedTypes="0" containsString="0" containsNumber="1" containsInteger="1" minValue="405" maxValue="8568"/>
    </cacheField>
    <cacheField name="PER" numFmtId="0">
      <sharedItems containsSemiMixedTypes="0" containsString="0" containsNumber="1" containsInteger="1" minValue="401" maxValue="9530"/>
    </cacheField>
    <cacheField name="CUM" numFmtId="0">
      <sharedItems containsSemiMixedTypes="0" containsString="0" containsNumber="1" containsInteger="1" minValue="103" maxValue="5595"/>
    </cacheField>
    <cacheField name="Satış Ahmet" numFmtId="165">
      <sharedItems containsSemiMixedTypes="0" containsString="0" containsNumber="1" minValue="3881.457043968881" maxValue="27448.095297266296"/>
    </cacheField>
    <cacheField name="Satış Büşra" numFmtId="165">
      <sharedItems containsSemiMixedTypes="0" containsString="0" containsNumber="1" minValue="4887.3752522760915" maxValue="27354.345606818973"/>
    </cacheField>
    <cacheField name="Satış Ceren" numFmtId="165">
      <sharedItems containsSemiMixedTypes="0" containsString="0" containsNumber="1" minValue="4376.659079065168" maxValue="31549.815078236134"/>
    </cacheField>
    <cacheField name="Satış Damla" numFmtId="165">
      <sharedItems containsSemiMixedTypes="0" containsString="0" containsNumber="1" minValue="4026.7997889006169" maxValue="31424.981150140629"/>
    </cacheField>
    <cacheField name="Satış Ezgi" numFmtId="165">
      <sharedItems containsSemiMixedTypes="0" containsString="0" containsNumber="1" minValue="5098.1977769369705" maxValue="26949.791375931942"/>
    </cacheField>
    <cacheField name="Gelir Ahmet" numFmtId="165">
      <sharedItems containsSemiMixedTypes="0" containsString="0" containsNumber="1" containsInteger="1" minValue="5068" maxValue="51167"/>
    </cacheField>
    <cacheField name="Gelir Büşra" numFmtId="165">
      <sharedItems containsSemiMixedTypes="0" containsString="0" containsNumber="1" containsInteger="1" minValue="4535" maxValue="28753"/>
    </cacheField>
    <cacheField name="Gelir Ceren" numFmtId="165">
      <sharedItems containsSemiMixedTypes="0" containsString="0" containsNumber="1" containsInteger="1" minValue="4364" maxValue="35666"/>
    </cacheField>
    <cacheField name="Gelir Damla" numFmtId="165">
      <sharedItems containsSemiMixedTypes="0" containsString="0" containsNumber="1" containsInteger="1" minValue="5575" maxValue="41413"/>
    </cacheField>
    <cacheField name="Gelir Ezgi" numFmtId="165">
      <sharedItems containsSemiMixedTypes="0" containsString="0" containsNumber="1" containsInteger="1" minValue="6235" maxValue="30725"/>
    </cacheField>
  </cacheFields>
  <extLst>
    <ext xmlns:x14="http://schemas.microsoft.com/office/spreadsheetml/2009/9/main" uri="{725AE2AE-9491-48be-B2B4-4EB974FC3084}">
      <x14:pivotCacheDefinition pivotCacheId="160291775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awei 0" refreshedDate="45906.944720254629" createdVersion="8" refreshedVersion="8" minRefreshableVersion="3" recordCount="5" xr:uid="{FA7334E9-11D2-41E8-ACFA-3C0D507B205F}">
  <cacheSource type="worksheet">
    <worksheetSource ref="H1:H6" sheet="Analiz"/>
  </cacheSource>
  <cacheFields count="1">
    <cacheField name="Hafta Gün" numFmtId="0">
      <sharedItems count="5">
        <s v="Pazartesi"/>
        <s v="Salı"/>
        <s v="Çarşamba"/>
        <s v="Perşembe"/>
        <s v="Cuma"/>
      </sharedItems>
    </cacheField>
  </cacheFields>
  <extLst>
    <ext xmlns:x14="http://schemas.microsoft.com/office/spreadsheetml/2009/9/main" uri="{725AE2AE-9491-48be-B2B4-4EB974FC3084}">
      <x14:pivotCacheDefinition pivotCacheId="103612400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80017"/>
    <n v="97558"/>
    <n v="112023"/>
    <n v="100740"/>
    <n v="713"/>
    <n v="1140"/>
    <n v="1621"/>
    <n v="1446"/>
    <n v="754"/>
    <n v="27448.095297266296"/>
    <n v="16424.796621104953"/>
    <n v="7872.0363338749758"/>
    <n v="18863.280371821831"/>
    <n v="26949.791375931942"/>
    <n v="13248"/>
    <n v="26106"/>
    <n v="24158"/>
    <n v="26106"/>
    <n v="22405"/>
  </r>
  <r>
    <x v="0"/>
    <x v="1"/>
    <n v="63839"/>
    <n v="109249"/>
    <n v="89374"/>
    <n v="94530"/>
    <n v="1253"/>
    <n v="1650"/>
    <n v="2372"/>
    <n v="1139"/>
    <n v="1036"/>
    <n v="23764.929843742881"/>
    <n v="24933.090793130155"/>
    <n v="18942.266593777051"/>
    <n v="17383.05967837456"/>
    <n v="24225.653090975353"/>
    <n v="25295"/>
    <n v="15177"/>
    <n v="19898"/>
    <n v="11130"/>
    <n v="17874"/>
  </r>
  <r>
    <x v="0"/>
    <x v="2"/>
    <n v="52732"/>
    <n v="114510"/>
    <n v="73824"/>
    <n v="102810"/>
    <n v="669"/>
    <n v="866"/>
    <n v="1521"/>
    <n v="4462"/>
    <n v="1452"/>
    <n v="24276.433686394194"/>
    <n v="12218.541878602917"/>
    <n v="22456.748050186503"/>
    <n v="31424.981150140629"/>
    <n v="24133.295234675763"/>
    <n v="19686"/>
    <n v="17897"/>
    <n v="12528"/>
    <n v="8948"/>
    <n v="14765"/>
  </r>
  <r>
    <x v="0"/>
    <x v="3"/>
    <n v="50355"/>
    <n v="106636"/>
    <n v="70497"/>
    <n v="113850"/>
    <n v="1170"/>
    <n v="1781"/>
    <n v="1273"/>
    <n v="1014"/>
    <n v="518"/>
    <n v="16531.862176187573"/>
    <n v="17366.782080103087"/>
    <n v="28381.30235098851"/>
    <n v="27577.00115553501"/>
    <n v="16779.052237185817"/>
    <n v="19369"/>
    <n v="18799"/>
    <n v="9115"/>
    <n v="9115"/>
    <n v="14099"/>
  </r>
  <r>
    <x v="0"/>
    <x v="4"/>
    <n v="57327"/>
    <n v="87133"/>
    <n v="80257"/>
    <n v="106260"/>
    <n v="486"/>
    <n v="1235"/>
    <n v="2145"/>
    <n v="1513"/>
    <n v="338"/>
    <n v="14632.423984446947"/>
    <n v="15003.910904191822"/>
    <n v="21139.091681162387"/>
    <n v="20823.476394147139"/>
    <n v="15534.097036051706"/>
    <n v="9126"/>
    <n v="17274"/>
    <n v="23792"/>
    <n v="14014"/>
    <n v="16051"/>
  </r>
  <r>
    <x v="0"/>
    <x v="5"/>
    <n v="71533"/>
    <n v="76715"/>
    <n v="100146"/>
    <n v="89700"/>
    <n v="1067"/>
    <n v="1554"/>
    <n v="1331"/>
    <n v="1004"/>
    <n v="176"/>
    <n v="15548.792846497763"/>
    <n v="18349.347148937311"/>
    <n v="17570.156516427007"/>
    <n v="13182.381110618815"/>
    <n v="12064.322377519098"/>
    <n v="14421"/>
    <n v="17626"/>
    <n v="13887"/>
    <n v="34183"/>
    <n v="20029"/>
  </r>
  <r>
    <x v="0"/>
    <x v="6"/>
    <n v="88557"/>
    <n v="78093"/>
    <n v="123979"/>
    <n v="88320"/>
    <n v="531"/>
    <n v="1000"/>
    <n v="2408"/>
    <n v="627"/>
    <n v="304"/>
    <n v="18182.576851259419"/>
    <n v="22610.188801692279"/>
    <n v="18390.089295274407"/>
    <n v="8722.1508102320367"/>
    <n v="10187.994241541855"/>
    <n v="34006"/>
    <n v="28338"/>
    <n v="21254"/>
    <n v="15586"/>
    <n v="24795"/>
  </r>
  <r>
    <x v="0"/>
    <x v="7"/>
    <n v="102771"/>
    <n v="93616"/>
    <n v="143879"/>
    <n v="99360"/>
    <n v="1298"/>
    <n v="1472"/>
    <n v="814"/>
    <n v="799"/>
    <n v="354"/>
    <n v="19490.76862084345"/>
    <n v="27354.345606818973"/>
    <n v="25331.62019921701"/>
    <n v="9890.3617622280581"/>
    <n v="11548.903810892512"/>
    <n v="24858"/>
    <n v="27560"/>
    <n v="35666"/>
    <n v="27020"/>
    <n v="28775"/>
  </r>
  <r>
    <x v="0"/>
    <x v="8"/>
    <n v="109735"/>
    <n v="100816"/>
    <n v="153629"/>
    <n v="120060"/>
    <n v="1236"/>
    <n v="1720"/>
    <n v="1512"/>
    <n v="1071"/>
    <n v="168"/>
    <n v="15375.276548127074"/>
    <n v="24337.336140350875"/>
    <n v="31549.815078236134"/>
    <n v="16057.899819819821"/>
    <n v="13495.672413466098"/>
    <n v="34066"/>
    <n v="18703"/>
    <n v="28722"/>
    <n v="41413"/>
    <n v="30725"/>
  </r>
  <r>
    <x v="0"/>
    <x v="9"/>
    <n v="107323"/>
    <n v="90443"/>
    <n v="150252"/>
    <n v="128340"/>
    <n v="420"/>
    <n v="890"/>
    <n v="1583"/>
    <n v="1371"/>
    <n v="458"/>
    <n v="11014.115803806126"/>
    <n v="15341.883962959928"/>
    <n v="26871.386727097375"/>
    <n v="21798.47392507517"/>
    <n v="15417.139581061403"/>
    <n v="51167"/>
    <n v="25990"/>
    <n v="21929"/>
    <n v="21116"/>
    <n v="30050"/>
  </r>
  <r>
    <x v="0"/>
    <x v="10"/>
    <n v="96271"/>
    <n v="82576"/>
    <n v="134779"/>
    <n v="122820"/>
    <n v="337"/>
    <n v="2403"/>
    <n v="2057"/>
    <n v="738"/>
    <n v="211"/>
    <n v="10692.047098121084"/>
    <n v="11348.729853862213"/>
    <n v="19769.970104384134"/>
    <n v="23319.133528183716"/>
    <n v="17446.119415448851"/>
    <n v="42530"/>
    <n v="28753"/>
    <n v="21565"/>
    <n v="14975"/>
    <n v="26956"/>
  </r>
  <r>
    <x v="0"/>
    <x v="11"/>
    <n v="80090"/>
    <n v="88480"/>
    <n v="112126"/>
    <n v="110400"/>
    <n v="1669"/>
    <n v="1773"/>
    <n v="405"/>
    <n v="401"/>
    <n v="304"/>
    <n v="15500.810039480362"/>
    <n v="11835.550780709329"/>
    <n v="14342.623104250564"/>
    <n v="23570.212165751611"/>
    <n v="23230.803909808135"/>
    <n v="22012"/>
    <n v="18160"/>
    <n v="18160"/>
    <n v="31368"/>
    <n v="22426"/>
  </r>
  <r>
    <x v="1"/>
    <x v="0"/>
    <n v="50564"/>
    <n v="50702"/>
    <n v="63206"/>
    <n v="39690"/>
    <n v="1067"/>
    <n v="2597"/>
    <n v="1262"/>
    <n v="1529"/>
    <n v="805"/>
    <n v="12351.262958984764"/>
    <n v="8094.328121892031"/>
    <n v="5089.2945193672012"/>
    <n v="9914.3585418572893"/>
    <n v="15252.755857898715"/>
    <n v="14990"/>
    <n v="11858"/>
    <n v="9173"/>
    <n v="14543"/>
    <n v="12642"/>
  </r>
  <r>
    <x v="1"/>
    <x v="1"/>
    <n v="63421"/>
    <n v="70305"/>
    <n v="79277"/>
    <n v="49690"/>
    <n v="2412"/>
    <n v="5592"/>
    <n v="6809"/>
    <n v="2147"/>
    <n v="1808"/>
    <n v="20400.839210613558"/>
    <n v="13311.889190787891"/>
    <n v="5594.1101851912035"/>
    <n v="9408.6709004751647"/>
    <n v="21589.490512932185"/>
    <n v="19258"/>
    <n v="15920"/>
    <n v="9500"/>
    <n v="18744"/>
    <n v="15855"/>
  </r>
  <r>
    <x v="1"/>
    <x v="2"/>
    <n v="65773"/>
    <n v="55623"/>
    <n v="82217"/>
    <n v="50270"/>
    <n v="343"/>
    <n v="1232"/>
    <n v="3197"/>
    <n v="3587"/>
    <n v="2297"/>
    <n v="17483.223772999987"/>
    <n v="10576.895138768255"/>
    <n v="4376.659079065168"/>
    <n v="6886.6323676790889"/>
    <n v="16299.589641487501"/>
    <n v="23665"/>
    <n v="12180"/>
    <n v="16008"/>
    <n v="13920"/>
    <n v="16444"/>
  </r>
  <r>
    <x v="1"/>
    <x v="3"/>
    <n v="59724"/>
    <n v="62203"/>
    <n v="74656"/>
    <n v="47270"/>
    <n v="1867"/>
    <n v="7805"/>
    <n v="2249"/>
    <n v="1864"/>
    <n v="422"/>
    <n v="18590.332185898569"/>
    <n v="9495.218151616893"/>
    <n v="7034.3579925781942"/>
    <n v="10661.675539848029"/>
    <n v="16421.416130058315"/>
    <n v="8670"/>
    <n v="15654"/>
    <n v="17821"/>
    <n v="17580"/>
    <n v="14931"/>
  </r>
  <r>
    <x v="1"/>
    <x v="4"/>
    <n v="45764"/>
    <n v="54385"/>
    <n v="57205"/>
    <n v="35250"/>
    <n v="599"/>
    <n v="1422"/>
    <n v="2800"/>
    <n v="2114"/>
    <n v="566"/>
    <n v="12433.368535075653"/>
    <n v="6862.4593878954602"/>
    <n v="9908.6178473177442"/>
    <n v="12939.06674690509"/>
    <n v="12241.487482806053"/>
    <n v="7390"/>
    <n v="15065"/>
    <n v="11086"/>
    <n v="12223"/>
    <n v="11441"/>
  </r>
  <r>
    <x v="1"/>
    <x v="5"/>
    <n v="35126"/>
    <n v="36741"/>
    <n v="43908"/>
    <n v="35250"/>
    <n v="504"/>
    <n v="754"/>
    <n v="749"/>
    <n v="433"/>
    <n v="103"/>
    <n v="5599.224918150423"/>
    <n v="4887.3752522760915"/>
    <n v="8577.2705937377868"/>
    <n v="10453.408767354993"/>
    <n v="7223.7204684807057"/>
    <n v="6572"/>
    <n v="13824"/>
    <n v="6799"/>
    <n v="7932"/>
    <n v="8781"/>
  </r>
  <r>
    <x v="1"/>
    <x v="6"/>
    <n v="35124"/>
    <n v="35401"/>
    <n v="43905"/>
    <n v="44070"/>
    <n v="419"/>
    <n v="647"/>
    <n v="472"/>
    <n v="564"/>
    <n v="296"/>
    <n v="3881.457043968881"/>
    <n v="5892.0275955061761"/>
    <n v="9371.8104789600566"/>
    <n v="9753.4669239181749"/>
    <n v="6502.2379576467083"/>
    <n v="12080"/>
    <n v="8363"/>
    <n v="9106"/>
    <n v="5575"/>
    <n v="8781"/>
  </r>
  <r>
    <x v="1"/>
    <x v="7"/>
    <n v="45767"/>
    <n v="37172"/>
    <n v="57209"/>
    <n v="45370"/>
    <n v="1119"/>
    <n v="1947"/>
    <n v="2642"/>
    <n v="792"/>
    <n v="781"/>
    <n v="4034.9190398543856"/>
    <n v="8141.021804254674"/>
    <n v="10096.577326103168"/>
    <n v="8636.7236484522145"/>
    <n v="6262.7581813355582"/>
    <n v="11015"/>
    <n v="13673"/>
    <n v="9495"/>
    <n v="11584"/>
    <n v="11442"/>
  </r>
  <r>
    <x v="1"/>
    <x v="8"/>
    <n v="59726"/>
    <n v="51231"/>
    <n v="74658"/>
    <n v="56490"/>
    <n v="660"/>
    <n v="922"/>
    <n v="1397"/>
    <n v="2169"/>
    <n v="978"/>
    <n v="7036.7396697609456"/>
    <n v="13669.456009200689"/>
    <n v="14827.13824415952"/>
    <n v="9801.7743366466784"/>
    <n v="5895.8917402321658"/>
    <n v="14562"/>
    <n v="15829"/>
    <n v="15829"/>
    <n v="13507"/>
    <n v="14931"/>
  </r>
  <r>
    <x v="1"/>
    <x v="9"/>
    <n v="66562"/>
    <n v="55624"/>
    <n v="83203"/>
    <n v="61490"/>
    <n v="979"/>
    <n v="5861"/>
    <n v="5671"/>
    <n v="549"/>
    <n v="163"/>
    <n v="8987.9418734630017"/>
    <n v="17243.286384976524"/>
    <n v="15797.842164095686"/>
    <n v="7840.9496981891343"/>
    <n v="5753.9798792756537"/>
    <n v="20115"/>
    <n v="11338"/>
    <n v="23772"/>
    <n v="11338"/>
    <n v="16640"/>
  </r>
  <r>
    <x v="1"/>
    <x v="10"/>
    <n v="63425"/>
    <n v="65096"/>
    <n v="79282"/>
    <n v="57770"/>
    <n v="2964"/>
    <n v="3724"/>
    <n v="4447"/>
    <n v="3728"/>
    <n v="1512"/>
    <n v="13071.34146607718"/>
    <n v="21001.374488292124"/>
    <n v="16782.534741553409"/>
    <n v="6848.5639430162109"/>
    <n v="7392.1853610610769"/>
    <n v="16194"/>
    <n v="17093"/>
    <n v="13495"/>
    <n v="16644"/>
    <n v="15856"/>
  </r>
  <r>
    <x v="1"/>
    <x v="11"/>
    <n v="50564"/>
    <n v="44623"/>
    <n v="63206"/>
    <n v="47770"/>
    <n v="1754"/>
    <n v="2767"/>
    <n v="2046"/>
    <n v="1432"/>
    <n v="382"/>
    <n v="10151.250774079783"/>
    <n v="13637.025728606934"/>
    <n v="10074.422460115798"/>
    <n v="4256.8462184640593"/>
    <n v="6503.454818733424"/>
    <n v="9496"/>
    <n v="14718"/>
    <n v="12107"/>
    <n v="14244"/>
    <n v="12641"/>
  </r>
  <r>
    <x v="2"/>
    <x v="0"/>
    <n v="28026"/>
    <n v="33543"/>
    <n v="37835"/>
    <n v="26660"/>
    <n v="1511"/>
    <n v="5603"/>
    <n v="5741"/>
    <n v="2858"/>
    <n v="1164"/>
    <n v="7381.8451474918056"/>
    <n v="8409.9741542136544"/>
    <n v="7244.885506360758"/>
    <n v="4026.7997889006169"/>
    <n v="6479.4954030331646"/>
    <n v="8185"/>
    <n v="7567"/>
    <n v="5405"/>
    <n v="9111"/>
    <n v="7567"/>
  </r>
  <r>
    <x v="2"/>
    <x v="1"/>
    <n v="36152"/>
    <n v="33555"/>
    <n v="48805"/>
    <n v="32060"/>
    <n v="2881"/>
    <n v="5551"/>
    <n v="2481"/>
    <n v="2067"/>
    <n v="875"/>
    <n v="5996.3606098068985"/>
    <n v="5971.1099278390684"/>
    <n v="8022.9532902428209"/>
    <n v="5685.2361355604235"/>
    <n v="7879.3400365507887"/>
    <n v="6428"/>
    <n v="13808"/>
    <n v="7856"/>
    <n v="10951"/>
    <n v="9762"/>
  </r>
  <r>
    <x v="2"/>
    <x v="2"/>
    <n v="38644"/>
    <n v="38370"/>
    <n v="52169"/>
    <n v="35760"/>
    <n v="2045"/>
    <n v="2765"/>
    <n v="2278"/>
    <n v="1140"/>
    <n v="117"/>
    <n v="5162.7025766212519"/>
    <n v="4967.0323483551037"/>
    <n v="10358.507259528131"/>
    <n v="8247.3284808670542"/>
    <n v="9634.4293346284594"/>
    <n v="8675"/>
    <n v="12192"/>
    <n v="6565"/>
    <n v="14303"/>
    <n v="10434"/>
  </r>
  <r>
    <x v="2"/>
    <x v="3"/>
    <n v="35469"/>
    <n v="44242"/>
    <n v="47883"/>
    <n v="36560"/>
    <n v="263"/>
    <n v="1412"/>
    <n v="3836"/>
    <n v="2081"/>
    <n v="311"/>
    <n v="4905.9119642439391"/>
    <n v="5684.6151790881213"/>
    <n v="12310.265547853282"/>
    <n v="10837.293534604823"/>
    <n v="10503.913774209834"/>
    <n v="9577"/>
    <n v="13357"/>
    <n v="7812"/>
    <n v="7560"/>
    <n v="9577"/>
  </r>
  <r>
    <x v="2"/>
    <x v="4"/>
    <n v="29118"/>
    <n v="42780"/>
    <n v="39309"/>
    <n v="34220"/>
    <n v="1820"/>
    <n v="3031"/>
    <n v="2757"/>
    <n v="1975"/>
    <n v="1499"/>
    <n v="5071.28710209568"/>
    <n v="6959.7547504124159"/>
    <n v="11211.355410276776"/>
    <n v="10679.44791348445"/>
    <n v="8858.1548237306779"/>
    <n v="10482"/>
    <n v="7321"/>
    <n v="4659"/>
    <n v="8985"/>
    <n v="7862"/>
  </r>
  <r>
    <x v="2"/>
    <x v="5"/>
    <n v="23300"/>
    <n v="36777"/>
    <n v="31455"/>
    <n v="29500"/>
    <n v="4362"/>
    <n v="4812"/>
    <n v="4003"/>
    <n v="2397"/>
    <n v="2155"/>
    <n v="5795.3927343975847"/>
    <n v="7508.731018533389"/>
    <n v="8594.097272990075"/>
    <n v="8472.4247390229011"/>
    <n v="6406.3542350560501"/>
    <n v="5091"/>
    <n v="5527"/>
    <n v="4364"/>
    <n v="10182"/>
    <n v="6291"/>
  </r>
  <r>
    <x v="2"/>
    <x v="6"/>
    <n v="23093"/>
    <n v="33575"/>
    <n v="31175"/>
    <n v="23820"/>
    <n v="2507"/>
    <n v="7399"/>
    <n v="4559"/>
    <n v="5121"/>
    <n v="2213"/>
    <n v="7298.308608836569"/>
    <n v="7937.0813909492636"/>
    <n v="6779.620315969074"/>
    <n v="6461.7919073081239"/>
    <n v="5098.1977769369705"/>
    <n v="5068"/>
    <n v="4535"/>
    <n v="9736"/>
    <n v="5601"/>
    <n v="6235"/>
  </r>
  <r>
    <x v="2"/>
    <x v="7"/>
    <n v="32452"/>
    <n v="34422"/>
    <n v="43810"/>
    <n v="19100"/>
    <n v="3047"/>
    <n v="3163"/>
    <n v="8406"/>
    <n v="2859"/>
    <n v="846"/>
    <n v="9544.6170991506733"/>
    <n v="8118.1067054572759"/>
    <n v="5979.5525315564728"/>
    <n v="5579.246633194125"/>
    <n v="5200.477030641453"/>
    <n v="9428"/>
    <n v="7583"/>
    <n v="9428"/>
    <n v="8608"/>
    <n v="8763"/>
  </r>
  <r>
    <x v="2"/>
    <x v="8"/>
    <n v="37109"/>
    <n v="38532"/>
    <n v="50097"/>
    <n v="16760"/>
    <n v="2526"/>
    <n v="2576"/>
    <n v="8568"/>
    <n v="9530"/>
    <n v="5595"/>
    <n v="11460.902330398758"/>
    <n v="8311.4796478508542"/>
    <n v="5993.0821336095287"/>
    <n v="6048.9545313309163"/>
    <n v="6717.5813568099438"/>
    <n v="7157"/>
    <n v="13496"/>
    <n v="11451"/>
    <n v="7975"/>
    <n v="10018"/>
  </r>
  <r>
    <x v="2"/>
    <x v="9"/>
    <n v="37602"/>
    <n v="43205"/>
    <n v="50762"/>
    <n v="17560"/>
    <n v="3576"/>
    <n v="5116"/>
    <n v="3866"/>
    <n v="3387"/>
    <n v="1534"/>
    <n v="11210.946675130932"/>
    <n v="8667.7090560077395"/>
    <n v="6614.5728191292392"/>
    <n v="7779.5839662638582"/>
    <n v="8932.187483468233"/>
    <n v="10255"/>
    <n v="11691"/>
    <n v="5333"/>
    <n v="13331"/>
    <n v="10152"/>
  </r>
  <r>
    <x v="2"/>
    <x v="10"/>
    <n v="33906"/>
    <n v="43752"/>
    <n v="45773"/>
    <n v="21260"/>
    <n v="3008"/>
    <n v="3718"/>
    <n v="5994"/>
    <n v="5349"/>
    <n v="2272"/>
    <n v="8587.6624028297629"/>
    <n v="8695.334347879736"/>
    <n v="7219.4189116933321"/>
    <n v="9271.4842265454699"/>
    <n v="9978.1001110517009"/>
    <n v="10672"/>
    <n v="10672"/>
    <n v="6905"/>
    <n v="8370"/>
    <n v="9154"/>
  </r>
  <r>
    <x v="2"/>
    <x v="11"/>
    <n v="34372"/>
    <n v="41665"/>
    <n v="46402"/>
    <n v="26660"/>
    <n v="3131"/>
    <n v="4514"/>
    <n v="4313"/>
    <n v="2682"/>
    <n v="707"/>
    <n v="6213.2133372208737"/>
    <n v="8291.8549905241216"/>
    <n v="7830.2280549410843"/>
    <n v="9849.9779424348253"/>
    <n v="9479.7256748790951"/>
    <n v="5924"/>
    <n v="12242"/>
    <n v="5924"/>
    <n v="13032"/>
    <n v="92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E842A-0461-4556-B040-DA5E3CA37F1A}" name="PivotTable2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A42:A48" firstHeaderRow="1" firstDataRow="1" firstDataCol="1"/>
  <pivotFields count="1"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C29E6-3E3A-4429-ABF9-6E80981B12AC}" name="PivotTable1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A35:A37" firstHeaderRow="1" firstDataRow="1" firstDataCol="1"/>
  <pivotFields count="21">
    <pivotField axis="axisRow" showAll="0">
      <items count="4">
        <item h="1" x="0"/>
        <item h="1"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0"/>
  </rowFields>
  <rowItems count="2"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0B11E9-2351-470D-A818-BB1D25D959E8}" name="PivotTable4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A20:E33" firstHeaderRow="0" firstDataRow="1" firstDataCol="1"/>
  <pivotFields count="21">
    <pivotField showAll="0">
      <items count="4">
        <item h="1" x="0"/>
        <item h="1"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plam Yatırımlar" fld="2" baseField="0" baseItem="0"/>
    <dataField name="Toplam Satış Hacmi" fld="3" baseField="0" baseItem="0"/>
    <dataField name="Toplam Gelir" fld="4" baseField="0" baseItem="0"/>
    <dataField name="Toplam Giderler" fld="5" baseField="0" baseItem="0"/>
  </dataFields>
  <formats count="2">
    <format dxfId="1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0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EA3C15-5B8D-4F1D-A7C8-3E4A0B15D8F4}" name="PivotTable3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A3:T16" firstHeaderRow="0" firstDataRow="1" firstDataCol="1"/>
  <pivotFields count="21">
    <pivotField showAll="0">
      <items count="4">
        <item h="1" x="0"/>
        <item h="1"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dataFields count="19">
    <dataField name="Toplam Yatırımlar" fld="2" baseField="0" baseItem="0"/>
    <dataField name="Toplam Satış Hacmi" fld="3" baseField="0" baseItem="0"/>
    <dataField name="Toplam Gelir" fld="4" baseField="0" baseItem="0"/>
    <dataField name="Toplam Giderler" fld="5" baseField="0" baseItem="0"/>
    <dataField name="Toplam PZT" fld="6" baseField="0" baseItem="0"/>
    <dataField name="Toplam SAL" fld="7" baseField="0" baseItem="0"/>
    <dataField name="Toplam ÇAR" fld="8" baseField="0" baseItem="0"/>
    <dataField name="Toplam PER" fld="9" baseField="0" baseItem="0"/>
    <dataField name="Toplam CUM" fld="10" baseField="0" baseItem="0"/>
    <dataField name="Toplam Satış Ahmet" fld="11" baseField="0" baseItem="0" numFmtId="165"/>
    <dataField name="Toplam Satış Büşra" fld="12" baseField="0" baseItem="0" numFmtId="165"/>
    <dataField name="Toplam Satış Ceren" fld="13" baseField="0" baseItem="0" numFmtId="165"/>
    <dataField name="Toplam Satış Damla" fld="14" baseField="0" baseItem="0" numFmtId="165"/>
    <dataField name="Toplam Satış Ezgi" fld="15" baseField="0" baseItem="0" numFmtId="165"/>
    <dataField name="Toplam Gelir Ahmet" fld="16" baseField="0" baseItem="0" numFmtId="165"/>
    <dataField name="Toplam Gelir Büşra" fld="17" baseField="0" baseItem="0" numFmtId="165"/>
    <dataField name="Toplam Gelir Ceren" fld="18" baseField="0" baseItem="0" numFmtId="165"/>
    <dataField name="Toplam Gelir Damla" fld="19" baseField="0" baseItem="0" numFmtId="165"/>
    <dataField name="Toplam Gelir Ezgi" fld="20" baseField="0" baseItem="0" numFmtId="165"/>
  </dataFields>
  <formats count="4">
    <format dxfId="5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4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3">
      <pivotArea collapsedLevelsAreSubtotals="1" fieldPosition="0">
        <references count="2">
          <reference field="4294967294" count="2" selected="0">
            <x v="2"/>
            <x v="3"/>
          </reference>
          <reference field="1" count="0"/>
        </references>
      </pivotArea>
    </format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13DF0-8CCE-4B57-BB4D-4F8CBEB67101}" name="Tablo1" displayName="Tablo1" ref="A1:U37" totalsRowShown="0" headerRowDxfId="28" dataDxfId="27" dataCellStyle="ParaBirimi">
  <autoFilter ref="A1:U37" xr:uid="{63813DF0-8CCE-4B57-BB4D-4F8CBEB67101}"/>
  <tableColumns count="21">
    <tableColumn id="1" xr3:uid="{953EFC79-EE1A-431C-A374-D1BFE9B5DFAD}" name="Yıl" dataDxfId="26"/>
    <tableColumn id="2" xr3:uid="{A1A9BDB1-32F8-4044-BBF0-EA29E82691A8}" name="Ay" dataDxfId="25"/>
    <tableColumn id="3" xr3:uid="{B0286059-EF34-4B25-9527-95C282419213}" name="Yatırımlar" dataDxfId="24"/>
    <tableColumn id="4" xr3:uid="{B9A3D7EB-9096-4042-BF8E-F5ABB1420A95}" name="Satış Hacmi" dataDxfId="23"/>
    <tableColumn id="5" xr3:uid="{C632B23F-CAD5-4EB8-8B4F-5AAC329312B6}" name="Gelir" dataDxfId="22"/>
    <tableColumn id="6" xr3:uid="{8C86A0B7-96AD-429E-A4FF-5901345C71CB}" name="Giderler" dataDxfId="21"/>
    <tableColumn id="7" xr3:uid="{BBDD96A4-1049-4916-89C3-5C3DE1A8B37B}" name="PZT" dataDxfId="20"/>
    <tableColumn id="8" xr3:uid="{E9D46DA0-AA56-47D4-BE10-F3425235DCA6}" name="SAL" dataDxfId="19"/>
    <tableColumn id="9" xr3:uid="{BEC78CD5-0CA1-43C3-BD30-1713650BA504}" name="ÇAR" dataDxfId="18"/>
    <tableColumn id="10" xr3:uid="{DD43190D-307A-45DF-9360-2999B98ED600}" name="PER" dataDxfId="17"/>
    <tableColumn id="11" xr3:uid="{5AE4B1AD-55EA-4999-9CFD-B7CFBA9FC55C}" name="CUM" dataDxfId="16"/>
    <tableColumn id="12" xr3:uid="{C23892AF-FF7E-4962-ADB9-ABC45FB5D06C}" name="Satış Ahmet" dataDxfId="15" dataCellStyle="ParaBirimi"/>
    <tableColumn id="13" xr3:uid="{16CB8858-9E94-44FF-BD57-EC06A1CEE1E9}" name="Satış Büşra" dataDxfId="14" dataCellStyle="ParaBirimi"/>
    <tableColumn id="14" xr3:uid="{19A0D004-27F1-4F29-992C-DB32F40728F7}" name="Satış Ceren" dataDxfId="13" dataCellStyle="ParaBirimi"/>
    <tableColumn id="15" xr3:uid="{17B35898-38B8-4D39-BECD-EBBC2D010A2D}" name="Satış Damla" dataDxfId="12" dataCellStyle="ParaBirimi"/>
    <tableColumn id="16" xr3:uid="{A973FA2E-809B-49D7-9D60-0F1575AF0DD1}" name="Satış Ezgi" dataDxfId="11" dataCellStyle="ParaBirimi"/>
    <tableColumn id="17" xr3:uid="{88AD86E1-CB6A-436F-9A5B-B24AC147AE6A}" name="Gelir Ahmet" dataDxfId="10" dataCellStyle="ParaBirimi"/>
    <tableColumn id="18" xr3:uid="{D49AD213-004C-41E7-B3FA-DEF6CA98B0F2}" name="Gelir Büşra" dataDxfId="9" dataCellStyle="ParaBirimi"/>
    <tableColumn id="19" xr3:uid="{069FA95E-C991-40F1-B52C-160870FAD8FA}" name="Gelir Ceren" dataDxfId="8" dataCellStyle="ParaBirimi"/>
    <tableColumn id="20" xr3:uid="{0D8482D2-920C-4114-8B14-72D930A9BDA3}" name="Gelir Damla" dataDxfId="7" dataCellStyle="ParaBirimi"/>
    <tableColumn id="21" xr3:uid="{B83FE1BA-3234-4992-96AE-320360624D0E}" name="Gelir Ezgi" dataDxfId="6" dataCellStyle="ParaBiri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opLeftCell="B1" zoomScaleNormal="100" workbookViewId="0">
      <selection activeCell="Z20" sqref="Z20"/>
    </sheetView>
  </sheetViews>
  <sheetFormatPr defaultRowHeight="14.5" x14ac:dyDescent="0.35"/>
  <cols>
    <col min="1" max="2" width="8.7265625" style="2"/>
    <col min="3" max="3" width="11" style="2" customWidth="1"/>
    <col min="4" max="4" width="12.36328125" style="2" customWidth="1"/>
    <col min="5" max="5" width="8.7265625" style="2"/>
    <col min="6" max="6" width="9.54296875" style="2" customWidth="1"/>
    <col min="7" max="11" width="8.7265625" style="2"/>
    <col min="12" max="12" width="12.81640625" style="2" customWidth="1"/>
    <col min="13" max="13" width="11.90625" style="2" customWidth="1"/>
    <col min="14" max="14" width="12.08984375" style="2" customWidth="1"/>
    <col min="15" max="15" width="12.54296875" style="2" customWidth="1"/>
    <col min="16" max="16" width="11.08984375" style="2" bestFit="1" customWidth="1"/>
    <col min="17" max="17" width="12.81640625" style="2" customWidth="1"/>
    <col min="18" max="18" width="11.90625" style="2" customWidth="1"/>
    <col min="19" max="19" width="12.08984375" style="2" customWidth="1"/>
    <col min="20" max="20" width="12.54296875" style="2" customWidth="1"/>
    <col min="21" max="21" width="11.08984375" style="2" bestFit="1" customWidth="1"/>
  </cols>
  <sheetData>
    <row r="1" spans="1:21" x14ac:dyDescent="0.35">
      <c r="A1" s="2" t="s">
        <v>2</v>
      </c>
      <c r="B1" s="2" t="s">
        <v>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</row>
    <row r="2" spans="1:21" x14ac:dyDescent="0.35">
      <c r="A2" s="15">
        <v>2026</v>
      </c>
      <c r="B2" s="16" t="s">
        <v>4</v>
      </c>
      <c r="C2" s="17">
        <v>80017</v>
      </c>
      <c r="D2" s="17">
        <v>97558</v>
      </c>
      <c r="E2" s="17">
        <v>112023</v>
      </c>
      <c r="F2" s="17">
        <v>100740</v>
      </c>
      <c r="G2" s="17">
        <v>713</v>
      </c>
      <c r="H2" s="17">
        <v>1140</v>
      </c>
      <c r="I2" s="17">
        <v>1621</v>
      </c>
      <c r="J2" s="17">
        <v>1446</v>
      </c>
      <c r="K2" s="17">
        <v>754</v>
      </c>
      <c r="L2" s="18">
        <v>27448.095297266296</v>
      </c>
      <c r="M2" s="18">
        <v>16424.796621104953</v>
      </c>
      <c r="N2" s="18">
        <v>7872.0363338749758</v>
      </c>
      <c r="O2" s="18">
        <v>18863.280371821831</v>
      </c>
      <c r="P2" s="18">
        <v>26949.791375931942</v>
      </c>
      <c r="Q2" s="18">
        <v>13248</v>
      </c>
      <c r="R2" s="18">
        <v>26106</v>
      </c>
      <c r="S2" s="18">
        <v>24158</v>
      </c>
      <c r="T2" s="18">
        <v>26106</v>
      </c>
      <c r="U2" s="19">
        <v>22405</v>
      </c>
    </row>
    <row r="3" spans="1:21" x14ac:dyDescent="0.35">
      <c r="A3" s="20">
        <v>2026</v>
      </c>
      <c r="B3" s="16" t="s">
        <v>5</v>
      </c>
      <c r="C3" s="21">
        <v>63839</v>
      </c>
      <c r="D3" s="21">
        <v>109249</v>
      </c>
      <c r="E3" s="21">
        <v>89374</v>
      </c>
      <c r="F3" s="21">
        <v>94530</v>
      </c>
      <c r="G3" s="21">
        <v>1253</v>
      </c>
      <c r="H3" s="21">
        <v>1650</v>
      </c>
      <c r="I3" s="21">
        <v>2372</v>
      </c>
      <c r="J3" s="21">
        <v>1139</v>
      </c>
      <c r="K3" s="21">
        <v>1036</v>
      </c>
      <c r="L3" s="22">
        <v>23764.929843742881</v>
      </c>
      <c r="M3" s="22">
        <v>24933.090793130155</v>
      </c>
      <c r="N3" s="22">
        <v>18942.266593777051</v>
      </c>
      <c r="O3" s="22">
        <v>17383.05967837456</v>
      </c>
      <c r="P3" s="22">
        <v>24225.653090975353</v>
      </c>
      <c r="Q3" s="22">
        <v>25295</v>
      </c>
      <c r="R3" s="22">
        <v>15177</v>
      </c>
      <c r="S3" s="22">
        <v>19898</v>
      </c>
      <c r="T3" s="22">
        <v>11130</v>
      </c>
      <c r="U3" s="23">
        <v>17874</v>
      </c>
    </row>
    <row r="4" spans="1:21" x14ac:dyDescent="0.35">
      <c r="A4" s="15">
        <v>2026</v>
      </c>
      <c r="B4" s="16" t="s">
        <v>0</v>
      </c>
      <c r="C4" s="17">
        <v>52732</v>
      </c>
      <c r="D4" s="17">
        <v>114510</v>
      </c>
      <c r="E4" s="17">
        <v>73824</v>
      </c>
      <c r="F4" s="17">
        <v>102810</v>
      </c>
      <c r="G4" s="17">
        <v>669</v>
      </c>
      <c r="H4" s="17">
        <v>866</v>
      </c>
      <c r="I4" s="17">
        <v>1521</v>
      </c>
      <c r="J4" s="17">
        <v>4462</v>
      </c>
      <c r="K4" s="17">
        <v>1452</v>
      </c>
      <c r="L4" s="18">
        <v>24276.433686394194</v>
      </c>
      <c r="M4" s="18">
        <v>12218.541878602917</v>
      </c>
      <c r="N4" s="18">
        <v>22456.748050186503</v>
      </c>
      <c r="O4" s="18">
        <v>31424.981150140629</v>
      </c>
      <c r="P4" s="18">
        <v>24133.295234675763</v>
      </c>
      <c r="Q4" s="18">
        <v>19686</v>
      </c>
      <c r="R4" s="18">
        <v>17897</v>
      </c>
      <c r="S4" s="18">
        <v>12528</v>
      </c>
      <c r="T4" s="18">
        <v>8948</v>
      </c>
      <c r="U4" s="19">
        <v>14765</v>
      </c>
    </row>
    <row r="5" spans="1:21" x14ac:dyDescent="0.35">
      <c r="A5" s="20">
        <v>2026</v>
      </c>
      <c r="B5" s="16" t="s">
        <v>6</v>
      </c>
      <c r="C5" s="21">
        <v>50355</v>
      </c>
      <c r="D5" s="21">
        <v>106636</v>
      </c>
      <c r="E5" s="21">
        <v>70497</v>
      </c>
      <c r="F5" s="21">
        <v>113850</v>
      </c>
      <c r="G5" s="21">
        <v>1170</v>
      </c>
      <c r="H5" s="21">
        <v>1781</v>
      </c>
      <c r="I5" s="21">
        <v>1273</v>
      </c>
      <c r="J5" s="21">
        <v>1014</v>
      </c>
      <c r="K5" s="21">
        <v>518</v>
      </c>
      <c r="L5" s="22">
        <v>16531.862176187573</v>
      </c>
      <c r="M5" s="22">
        <v>17366.782080103087</v>
      </c>
      <c r="N5" s="22">
        <v>28381.30235098851</v>
      </c>
      <c r="O5" s="22">
        <v>27577.00115553501</v>
      </c>
      <c r="P5" s="22">
        <v>16779.052237185817</v>
      </c>
      <c r="Q5" s="22">
        <v>19369</v>
      </c>
      <c r="R5" s="22">
        <v>18799</v>
      </c>
      <c r="S5" s="22">
        <v>9115</v>
      </c>
      <c r="T5" s="22">
        <v>9115</v>
      </c>
      <c r="U5" s="23">
        <v>14099</v>
      </c>
    </row>
    <row r="6" spans="1:21" x14ac:dyDescent="0.35">
      <c r="A6" s="15">
        <v>2026</v>
      </c>
      <c r="B6" s="16" t="s">
        <v>1</v>
      </c>
      <c r="C6" s="17">
        <v>57327</v>
      </c>
      <c r="D6" s="17">
        <v>87133</v>
      </c>
      <c r="E6" s="17">
        <v>80257</v>
      </c>
      <c r="F6" s="17">
        <v>106260</v>
      </c>
      <c r="G6" s="17">
        <v>486</v>
      </c>
      <c r="H6" s="17">
        <v>1235</v>
      </c>
      <c r="I6" s="17">
        <v>2145</v>
      </c>
      <c r="J6" s="17">
        <v>1513</v>
      </c>
      <c r="K6" s="17">
        <v>338</v>
      </c>
      <c r="L6" s="18">
        <v>14632.423984446947</v>
      </c>
      <c r="M6" s="18">
        <v>15003.910904191822</v>
      </c>
      <c r="N6" s="18">
        <v>21139.091681162387</v>
      </c>
      <c r="O6" s="18">
        <v>20823.476394147139</v>
      </c>
      <c r="P6" s="18">
        <v>15534.097036051706</v>
      </c>
      <c r="Q6" s="18">
        <v>9126</v>
      </c>
      <c r="R6" s="18">
        <v>17274</v>
      </c>
      <c r="S6" s="18">
        <v>23792</v>
      </c>
      <c r="T6" s="18">
        <v>14014</v>
      </c>
      <c r="U6" s="19">
        <v>16051</v>
      </c>
    </row>
    <row r="7" spans="1:21" x14ac:dyDescent="0.35">
      <c r="A7" s="20">
        <v>2026</v>
      </c>
      <c r="B7" s="16" t="s">
        <v>7</v>
      </c>
      <c r="C7" s="21">
        <v>71533</v>
      </c>
      <c r="D7" s="21">
        <v>76715</v>
      </c>
      <c r="E7" s="21">
        <v>100146</v>
      </c>
      <c r="F7" s="21">
        <v>89700</v>
      </c>
      <c r="G7" s="21">
        <v>1067</v>
      </c>
      <c r="H7" s="21">
        <v>1554</v>
      </c>
      <c r="I7" s="21">
        <v>1331</v>
      </c>
      <c r="J7" s="21">
        <v>1004</v>
      </c>
      <c r="K7" s="21">
        <v>176</v>
      </c>
      <c r="L7" s="22">
        <v>15548.792846497763</v>
      </c>
      <c r="M7" s="22">
        <v>18349.347148937311</v>
      </c>
      <c r="N7" s="22">
        <v>17570.156516427007</v>
      </c>
      <c r="O7" s="22">
        <v>13182.381110618815</v>
      </c>
      <c r="P7" s="22">
        <v>12064.322377519098</v>
      </c>
      <c r="Q7" s="22">
        <v>14421</v>
      </c>
      <c r="R7" s="22">
        <v>17626</v>
      </c>
      <c r="S7" s="22">
        <v>13887</v>
      </c>
      <c r="T7" s="22">
        <v>34183</v>
      </c>
      <c r="U7" s="23">
        <v>20029</v>
      </c>
    </row>
    <row r="8" spans="1:21" x14ac:dyDescent="0.35">
      <c r="A8" s="15">
        <v>2026</v>
      </c>
      <c r="B8" s="16" t="s">
        <v>8</v>
      </c>
      <c r="C8" s="17">
        <v>88557</v>
      </c>
      <c r="D8" s="17">
        <v>78093</v>
      </c>
      <c r="E8" s="17">
        <v>123979</v>
      </c>
      <c r="F8" s="17">
        <v>88320</v>
      </c>
      <c r="G8" s="17">
        <v>531</v>
      </c>
      <c r="H8" s="17">
        <v>1000</v>
      </c>
      <c r="I8" s="17">
        <v>2408</v>
      </c>
      <c r="J8" s="17">
        <v>627</v>
      </c>
      <c r="K8" s="17">
        <v>304</v>
      </c>
      <c r="L8" s="18">
        <v>18182.576851259419</v>
      </c>
      <c r="M8" s="18">
        <v>22610.188801692279</v>
      </c>
      <c r="N8" s="18">
        <v>18390.089295274407</v>
      </c>
      <c r="O8" s="18">
        <v>8722.1508102320367</v>
      </c>
      <c r="P8" s="18">
        <v>10187.994241541855</v>
      </c>
      <c r="Q8" s="18">
        <v>34006</v>
      </c>
      <c r="R8" s="18">
        <v>28338</v>
      </c>
      <c r="S8" s="18">
        <v>21254</v>
      </c>
      <c r="T8" s="18">
        <v>15586</v>
      </c>
      <c r="U8" s="19">
        <v>24795</v>
      </c>
    </row>
    <row r="9" spans="1:21" x14ac:dyDescent="0.35">
      <c r="A9" s="20">
        <v>2026</v>
      </c>
      <c r="B9" s="16" t="s">
        <v>9</v>
      </c>
      <c r="C9" s="21">
        <v>102771</v>
      </c>
      <c r="D9" s="21">
        <v>93616</v>
      </c>
      <c r="E9" s="21">
        <v>143879</v>
      </c>
      <c r="F9" s="21">
        <v>99360</v>
      </c>
      <c r="G9" s="21">
        <v>1298</v>
      </c>
      <c r="H9" s="21">
        <v>1472</v>
      </c>
      <c r="I9" s="21">
        <v>814</v>
      </c>
      <c r="J9" s="21">
        <v>799</v>
      </c>
      <c r="K9" s="21">
        <v>354</v>
      </c>
      <c r="L9" s="22">
        <v>19490.76862084345</v>
      </c>
      <c r="M9" s="22">
        <v>27354.345606818973</v>
      </c>
      <c r="N9" s="22">
        <v>25331.62019921701</v>
      </c>
      <c r="O9" s="22">
        <v>9890.3617622280581</v>
      </c>
      <c r="P9" s="22">
        <v>11548.903810892512</v>
      </c>
      <c r="Q9" s="22">
        <v>24858</v>
      </c>
      <c r="R9" s="22">
        <v>27560</v>
      </c>
      <c r="S9" s="22">
        <v>35666</v>
      </c>
      <c r="T9" s="22">
        <v>27020</v>
      </c>
      <c r="U9" s="23">
        <v>28775</v>
      </c>
    </row>
    <row r="10" spans="1:21" x14ac:dyDescent="0.35">
      <c r="A10" s="15">
        <v>2026</v>
      </c>
      <c r="B10" s="16" t="s">
        <v>10</v>
      </c>
      <c r="C10" s="17">
        <v>109735</v>
      </c>
      <c r="D10" s="17">
        <v>100816</v>
      </c>
      <c r="E10" s="17">
        <v>153629</v>
      </c>
      <c r="F10" s="17">
        <v>120060</v>
      </c>
      <c r="G10" s="17">
        <v>1236</v>
      </c>
      <c r="H10" s="17">
        <v>1720</v>
      </c>
      <c r="I10" s="17">
        <v>1512</v>
      </c>
      <c r="J10" s="17">
        <v>1071</v>
      </c>
      <c r="K10" s="17">
        <v>168</v>
      </c>
      <c r="L10" s="18">
        <v>15375.276548127074</v>
      </c>
      <c r="M10" s="18">
        <v>24337.336140350875</v>
      </c>
      <c r="N10" s="18">
        <v>31549.815078236134</v>
      </c>
      <c r="O10" s="18">
        <v>16057.899819819821</v>
      </c>
      <c r="P10" s="18">
        <v>13495.672413466098</v>
      </c>
      <c r="Q10" s="18">
        <v>34066</v>
      </c>
      <c r="R10" s="18">
        <v>18703</v>
      </c>
      <c r="S10" s="18">
        <v>28722</v>
      </c>
      <c r="T10" s="18">
        <v>41413</v>
      </c>
      <c r="U10" s="19">
        <v>30725</v>
      </c>
    </row>
    <row r="11" spans="1:21" x14ac:dyDescent="0.35">
      <c r="A11" s="20">
        <v>2026</v>
      </c>
      <c r="B11" s="16" t="s">
        <v>11</v>
      </c>
      <c r="C11" s="21">
        <v>107323</v>
      </c>
      <c r="D11" s="21">
        <v>90443</v>
      </c>
      <c r="E11" s="21">
        <v>150252</v>
      </c>
      <c r="F11" s="21">
        <v>128340</v>
      </c>
      <c r="G11" s="21">
        <v>420</v>
      </c>
      <c r="H11" s="21">
        <v>890</v>
      </c>
      <c r="I11" s="21">
        <v>1583</v>
      </c>
      <c r="J11" s="21">
        <v>1371</v>
      </c>
      <c r="K11" s="21">
        <v>458</v>
      </c>
      <c r="L11" s="22">
        <v>11014.115803806126</v>
      </c>
      <c r="M11" s="22">
        <v>15341.883962959928</v>
      </c>
      <c r="N11" s="22">
        <v>26871.386727097375</v>
      </c>
      <c r="O11" s="22">
        <v>21798.47392507517</v>
      </c>
      <c r="P11" s="22">
        <v>15417.139581061403</v>
      </c>
      <c r="Q11" s="22">
        <v>51167</v>
      </c>
      <c r="R11" s="22">
        <v>25990</v>
      </c>
      <c r="S11" s="22">
        <v>21929</v>
      </c>
      <c r="T11" s="22">
        <v>21116</v>
      </c>
      <c r="U11" s="23">
        <v>30050</v>
      </c>
    </row>
    <row r="12" spans="1:21" x14ac:dyDescent="0.35">
      <c r="A12" s="15">
        <v>2026</v>
      </c>
      <c r="B12" s="16" t="s">
        <v>12</v>
      </c>
      <c r="C12" s="17">
        <v>96271</v>
      </c>
      <c r="D12" s="17">
        <v>82576</v>
      </c>
      <c r="E12" s="17">
        <v>134779</v>
      </c>
      <c r="F12" s="17">
        <v>122820</v>
      </c>
      <c r="G12" s="17">
        <v>337</v>
      </c>
      <c r="H12" s="17">
        <v>2403</v>
      </c>
      <c r="I12" s="17">
        <v>2057</v>
      </c>
      <c r="J12" s="17">
        <v>738</v>
      </c>
      <c r="K12" s="17">
        <v>211</v>
      </c>
      <c r="L12" s="18">
        <v>10692.047098121084</v>
      </c>
      <c r="M12" s="18">
        <v>11348.729853862213</v>
      </c>
      <c r="N12" s="18">
        <v>19769.970104384134</v>
      </c>
      <c r="O12" s="18">
        <v>23319.133528183716</v>
      </c>
      <c r="P12" s="18">
        <v>17446.119415448851</v>
      </c>
      <c r="Q12" s="18">
        <v>42530</v>
      </c>
      <c r="R12" s="18">
        <v>28753</v>
      </c>
      <c r="S12" s="18">
        <v>21565</v>
      </c>
      <c r="T12" s="18">
        <v>14975</v>
      </c>
      <c r="U12" s="19">
        <v>26956</v>
      </c>
    </row>
    <row r="13" spans="1:21" x14ac:dyDescent="0.35">
      <c r="A13" s="20">
        <v>2026</v>
      </c>
      <c r="B13" s="16" t="s">
        <v>13</v>
      </c>
      <c r="C13" s="21">
        <v>80090</v>
      </c>
      <c r="D13" s="21">
        <v>88480</v>
      </c>
      <c r="E13" s="21">
        <v>112126</v>
      </c>
      <c r="F13" s="21">
        <v>110400</v>
      </c>
      <c r="G13" s="21">
        <v>1669</v>
      </c>
      <c r="H13" s="21">
        <v>1773</v>
      </c>
      <c r="I13" s="21">
        <v>405</v>
      </c>
      <c r="J13" s="21">
        <v>401</v>
      </c>
      <c r="K13" s="21">
        <v>304</v>
      </c>
      <c r="L13" s="22">
        <v>15500.810039480362</v>
      </c>
      <c r="M13" s="22">
        <v>11835.550780709329</v>
      </c>
      <c r="N13" s="22">
        <v>14342.623104250564</v>
      </c>
      <c r="O13" s="22">
        <v>23570.212165751611</v>
      </c>
      <c r="P13" s="22">
        <v>23230.803909808135</v>
      </c>
      <c r="Q13" s="22">
        <v>22012</v>
      </c>
      <c r="R13" s="22">
        <v>18160</v>
      </c>
      <c r="S13" s="22">
        <v>18160</v>
      </c>
      <c r="T13" s="22">
        <v>31368</v>
      </c>
      <c r="U13" s="23">
        <v>22426</v>
      </c>
    </row>
    <row r="14" spans="1:21" x14ac:dyDescent="0.35">
      <c r="A14" s="15">
        <v>2027</v>
      </c>
      <c r="B14" s="16" t="s">
        <v>4</v>
      </c>
      <c r="C14" s="17">
        <v>50564</v>
      </c>
      <c r="D14" s="17">
        <v>50702</v>
      </c>
      <c r="E14" s="17">
        <v>63206</v>
      </c>
      <c r="F14" s="17">
        <v>39690</v>
      </c>
      <c r="G14" s="17">
        <v>1067</v>
      </c>
      <c r="H14" s="17">
        <v>2597</v>
      </c>
      <c r="I14" s="17">
        <v>1262</v>
      </c>
      <c r="J14" s="17">
        <v>1529</v>
      </c>
      <c r="K14" s="17">
        <v>805</v>
      </c>
      <c r="L14" s="18">
        <v>12351.262958984764</v>
      </c>
      <c r="M14" s="18">
        <v>8094.328121892031</v>
      </c>
      <c r="N14" s="18">
        <v>5089.2945193672012</v>
      </c>
      <c r="O14" s="18">
        <v>9914.3585418572893</v>
      </c>
      <c r="P14" s="18">
        <v>15252.755857898715</v>
      </c>
      <c r="Q14" s="18">
        <v>14990</v>
      </c>
      <c r="R14" s="18">
        <v>11858</v>
      </c>
      <c r="S14" s="18">
        <v>9173</v>
      </c>
      <c r="T14" s="18">
        <v>14543</v>
      </c>
      <c r="U14" s="19">
        <v>12642</v>
      </c>
    </row>
    <row r="15" spans="1:21" x14ac:dyDescent="0.35">
      <c r="A15" s="20">
        <v>2027</v>
      </c>
      <c r="B15" s="16" t="s">
        <v>5</v>
      </c>
      <c r="C15" s="21">
        <v>63421</v>
      </c>
      <c r="D15" s="21">
        <v>70305</v>
      </c>
      <c r="E15" s="21">
        <v>79277</v>
      </c>
      <c r="F15" s="21">
        <v>49690</v>
      </c>
      <c r="G15" s="21">
        <v>2412</v>
      </c>
      <c r="H15" s="21">
        <v>5592</v>
      </c>
      <c r="I15" s="21">
        <v>6809</v>
      </c>
      <c r="J15" s="21">
        <v>2147</v>
      </c>
      <c r="K15" s="21">
        <v>1808</v>
      </c>
      <c r="L15" s="22">
        <v>20400.839210613558</v>
      </c>
      <c r="M15" s="22">
        <v>13311.889190787891</v>
      </c>
      <c r="N15" s="22">
        <v>5594.1101851912035</v>
      </c>
      <c r="O15" s="22">
        <v>9408.6709004751647</v>
      </c>
      <c r="P15" s="22">
        <v>21589.490512932185</v>
      </c>
      <c r="Q15" s="22">
        <v>19258</v>
      </c>
      <c r="R15" s="22">
        <v>15920</v>
      </c>
      <c r="S15" s="22">
        <v>9500</v>
      </c>
      <c r="T15" s="22">
        <v>18744</v>
      </c>
      <c r="U15" s="23">
        <v>15855</v>
      </c>
    </row>
    <row r="16" spans="1:21" x14ac:dyDescent="0.35">
      <c r="A16" s="15">
        <v>2027</v>
      </c>
      <c r="B16" s="16" t="s">
        <v>0</v>
      </c>
      <c r="C16" s="17">
        <v>65773</v>
      </c>
      <c r="D16" s="17">
        <v>55623</v>
      </c>
      <c r="E16" s="17">
        <v>82217</v>
      </c>
      <c r="F16" s="17">
        <v>50270</v>
      </c>
      <c r="G16" s="17">
        <v>343</v>
      </c>
      <c r="H16" s="17">
        <v>1232</v>
      </c>
      <c r="I16" s="17">
        <v>3197</v>
      </c>
      <c r="J16" s="17">
        <v>3587</v>
      </c>
      <c r="K16" s="17">
        <v>2297</v>
      </c>
      <c r="L16" s="18">
        <v>17483.223772999987</v>
      </c>
      <c r="M16" s="18">
        <v>10576.895138768255</v>
      </c>
      <c r="N16" s="18">
        <v>4376.659079065168</v>
      </c>
      <c r="O16" s="18">
        <v>6886.6323676790889</v>
      </c>
      <c r="P16" s="18">
        <v>16299.589641487501</v>
      </c>
      <c r="Q16" s="18">
        <v>23665</v>
      </c>
      <c r="R16" s="18">
        <v>12180</v>
      </c>
      <c r="S16" s="18">
        <v>16008</v>
      </c>
      <c r="T16" s="18">
        <v>13920</v>
      </c>
      <c r="U16" s="19">
        <v>16444</v>
      </c>
    </row>
    <row r="17" spans="1:21" x14ac:dyDescent="0.35">
      <c r="A17" s="20">
        <v>2027</v>
      </c>
      <c r="B17" s="16" t="s">
        <v>6</v>
      </c>
      <c r="C17" s="21">
        <v>59724</v>
      </c>
      <c r="D17" s="21">
        <v>62203</v>
      </c>
      <c r="E17" s="21">
        <v>74656</v>
      </c>
      <c r="F17" s="21">
        <v>47270</v>
      </c>
      <c r="G17" s="21">
        <v>1867</v>
      </c>
      <c r="H17" s="21">
        <v>7805</v>
      </c>
      <c r="I17" s="21">
        <v>2249</v>
      </c>
      <c r="J17" s="21">
        <v>1864</v>
      </c>
      <c r="K17" s="21">
        <v>422</v>
      </c>
      <c r="L17" s="22">
        <v>18590.332185898569</v>
      </c>
      <c r="M17" s="22">
        <v>9495.218151616893</v>
      </c>
      <c r="N17" s="22">
        <v>7034.3579925781942</v>
      </c>
      <c r="O17" s="22">
        <v>10661.675539848029</v>
      </c>
      <c r="P17" s="22">
        <v>16421.416130058315</v>
      </c>
      <c r="Q17" s="22">
        <v>8670</v>
      </c>
      <c r="R17" s="22">
        <v>15654</v>
      </c>
      <c r="S17" s="22">
        <v>17821</v>
      </c>
      <c r="T17" s="22">
        <v>17580</v>
      </c>
      <c r="U17" s="23">
        <v>14931</v>
      </c>
    </row>
    <row r="18" spans="1:21" x14ac:dyDescent="0.35">
      <c r="A18" s="15">
        <v>2027</v>
      </c>
      <c r="B18" s="16" t="s">
        <v>1</v>
      </c>
      <c r="C18" s="17">
        <v>45764</v>
      </c>
      <c r="D18" s="17">
        <v>54385</v>
      </c>
      <c r="E18" s="17">
        <v>57205</v>
      </c>
      <c r="F18" s="17">
        <v>35250</v>
      </c>
      <c r="G18" s="17">
        <v>599</v>
      </c>
      <c r="H18" s="17">
        <v>1422</v>
      </c>
      <c r="I18" s="17">
        <v>2800</v>
      </c>
      <c r="J18" s="17">
        <v>2114</v>
      </c>
      <c r="K18" s="17">
        <v>566</v>
      </c>
      <c r="L18" s="18">
        <v>12433.368535075653</v>
      </c>
      <c r="M18" s="18">
        <v>6862.4593878954602</v>
      </c>
      <c r="N18" s="18">
        <v>9908.6178473177442</v>
      </c>
      <c r="O18" s="18">
        <v>12939.06674690509</v>
      </c>
      <c r="P18" s="18">
        <v>12241.487482806053</v>
      </c>
      <c r="Q18" s="18">
        <v>7390</v>
      </c>
      <c r="R18" s="18">
        <v>15065</v>
      </c>
      <c r="S18" s="18">
        <v>11086</v>
      </c>
      <c r="T18" s="18">
        <v>12223</v>
      </c>
      <c r="U18" s="19">
        <v>11441</v>
      </c>
    </row>
    <row r="19" spans="1:21" x14ac:dyDescent="0.35">
      <c r="A19" s="20">
        <v>2027</v>
      </c>
      <c r="B19" s="16" t="s">
        <v>7</v>
      </c>
      <c r="C19" s="21">
        <v>35126</v>
      </c>
      <c r="D19" s="21">
        <v>36741</v>
      </c>
      <c r="E19" s="21">
        <v>43908</v>
      </c>
      <c r="F19" s="21">
        <v>35250</v>
      </c>
      <c r="G19" s="21">
        <v>504</v>
      </c>
      <c r="H19" s="21">
        <v>754</v>
      </c>
      <c r="I19" s="21">
        <v>749</v>
      </c>
      <c r="J19" s="21">
        <v>433</v>
      </c>
      <c r="K19" s="21">
        <v>103</v>
      </c>
      <c r="L19" s="22">
        <v>5599.224918150423</v>
      </c>
      <c r="M19" s="22">
        <v>4887.3752522760915</v>
      </c>
      <c r="N19" s="22">
        <v>8577.2705937377868</v>
      </c>
      <c r="O19" s="22">
        <v>10453.408767354993</v>
      </c>
      <c r="P19" s="22">
        <v>7223.7204684807057</v>
      </c>
      <c r="Q19" s="22">
        <v>6572</v>
      </c>
      <c r="R19" s="22">
        <v>13824</v>
      </c>
      <c r="S19" s="22">
        <v>6799</v>
      </c>
      <c r="T19" s="22">
        <v>7932</v>
      </c>
      <c r="U19" s="23">
        <v>8781</v>
      </c>
    </row>
    <row r="20" spans="1:21" x14ac:dyDescent="0.35">
      <c r="A20" s="15">
        <v>2027</v>
      </c>
      <c r="B20" s="16" t="s">
        <v>8</v>
      </c>
      <c r="C20" s="17">
        <v>35124</v>
      </c>
      <c r="D20" s="17">
        <v>35401</v>
      </c>
      <c r="E20" s="17">
        <v>43905</v>
      </c>
      <c r="F20" s="17">
        <v>44070</v>
      </c>
      <c r="G20" s="17">
        <v>419</v>
      </c>
      <c r="H20" s="17">
        <v>647</v>
      </c>
      <c r="I20" s="17">
        <v>472</v>
      </c>
      <c r="J20" s="17">
        <v>564</v>
      </c>
      <c r="K20" s="17">
        <v>296</v>
      </c>
      <c r="L20" s="18">
        <v>3881.457043968881</v>
      </c>
      <c r="M20" s="18">
        <v>5892.0275955061761</v>
      </c>
      <c r="N20" s="18">
        <v>9371.8104789600566</v>
      </c>
      <c r="O20" s="18">
        <v>9753.4669239181749</v>
      </c>
      <c r="P20" s="18">
        <v>6502.2379576467083</v>
      </c>
      <c r="Q20" s="18">
        <v>12080</v>
      </c>
      <c r="R20" s="18">
        <v>8363</v>
      </c>
      <c r="S20" s="18">
        <v>9106</v>
      </c>
      <c r="T20" s="18">
        <v>5575</v>
      </c>
      <c r="U20" s="19">
        <v>8781</v>
      </c>
    </row>
    <row r="21" spans="1:21" x14ac:dyDescent="0.35">
      <c r="A21" s="20">
        <v>2027</v>
      </c>
      <c r="B21" s="16" t="s">
        <v>9</v>
      </c>
      <c r="C21" s="21">
        <v>45767</v>
      </c>
      <c r="D21" s="21">
        <v>37172</v>
      </c>
      <c r="E21" s="21">
        <v>57209</v>
      </c>
      <c r="F21" s="21">
        <v>45370</v>
      </c>
      <c r="G21" s="21">
        <v>1119</v>
      </c>
      <c r="H21" s="21">
        <v>1947</v>
      </c>
      <c r="I21" s="21">
        <v>2642</v>
      </c>
      <c r="J21" s="21">
        <v>792</v>
      </c>
      <c r="K21" s="21">
        <v>781</v>
      </c>
      <c r="L21" s="22">
        <v>4034.9190398543856</v>
      </c>
      <c r="M21" s="22">
        <v>8141.021804254674</v>
      </c>
      <c r="N21" s="22">
        <v>10096.577326103168</v>
      </c>
      <c r="O21" s="22">
        <v>8636.7236484522145</v>
      </c>
      <c r="P21" s="22">
        <v>6262.7581813355582</v>
      </c>
      <c r="Q21" s="22">
        <v>11015</v>
      </c>
      <c r="R21" s="22">
        <v>13673</v>
      </c>
      <c r="S21" s="22">
        <v>9495</v>
      </c>
      <c r="T21" s="22">
        <v>11584</v>
      </c>
      <c r="U21" s="23">
        <v>11442</v>
      </c>
    </row>
    <row r="22" spans="1:21" x14ac:dyDescent="0.35">
      <c r="A22" s="15">
        <v>2027</v>
      </c>
      <c r="B22" s="16" t="s">
        <v>10</v>
      </c>
      <c r="C22" s="17">
        <v>59726</v>
      </c>
      <c r="D22" s="17">
        <v>51231</v>
      </c>
      <c r="E22" s="17">
        <v>74658</v>
      </c>
      <c r="F22" s="17">
        <v>56490</v>
      </c>
      <c r="G22" s="17">
        <v>660</v>
      </c>
      <c r="H22" s="17">
        <v>922</v>
      </c>
      <c r="I22" s="17">
        <v>1397</v>
      </c>
      <c r="J22" s="17">
        <v>2169</v>
      </c>
      <c r="K22" s="17">
        <v>978</v>
      </c>
      <c r="L22" s="18">
        <v>7036.7396697609456</v>
      </c>
      <c r="M22" s="18">
        <v>13669.456009200689</v>
      </c>
      <c r="N22" s="18">
        <v>14827.13824415952</v>
      </c>
      <c r="O22" s="18">
        <v>9801.7743366466784</v>
      </c>
      <c r="P22" s="18">
        <v>5895.8917402321658</v>
      </c>
      <c r="Q22" s="18">
        <v>14562</v>
      </c>
      <c r="R22" s="18">
        <v>15829</v>
      </c>
      <c r="S22" s="18">
        <v>15829</v>
      </c>
      <c r="T22" s="18">
        <v>13507</v>
      </c>
      <c r="U22" s="19">
        <v>14931</v>
      </c>
    </row>
    <row r="23" spans="1:21" x14ac:dyDescent="0.35">
      <c r="A23" s="20">
        <v>2027</v>
      </c>
      <c r="B23" s="16" t="s">
        <v>11</v>
      </c>
      <c r="C23" s="21">
        <v>66562</v>
      </c>
      <c r="D23" s="21">
        <v>55624</v>
      </c>
      <c r="E23" s="21">
        <v>83203</v>
      </c>
      <c r="F23" s="21">
        <v>61490</v>
      </c>
      <c r="G23" s="21">
        <v>979</v>
      </c>
      <c r="H23" s="21">
        <v>5861</v>
      </c>
      <c r="I23" s="21">
        <v>5671</v>
      </c>
      <c r="J23" s="21">
        <v>549</v>
      </c>
      <c r="K23" s="21">
        <v>163</v>
      </c>
      <c r="L23" s="22">
        <v>8987.9418734630017</v>
      </c>
      <c r="M23" s="22">
        <v>17243.286384976524</v>
      </c>
      <c r="N23" s="22">
        <v>15797.842164095686</v>
      </c>
      <c r="O23" s="22">
        <v>7840.9496981891343</v>
      </c>
      <c r="P23" s="22">
        <v>5753.9798792756537</v>
      </c>
      <c r="Q23" s="22">
        <v>20115</v>
      </c>
      <c r="R23" s="22">
        <v>11338</v>
      </c>
      <c r="S23" s="22">
        <v>23772</v>
      </c>
      <c r="T23" s="22">
        <v>11338</v>
      </c>
      <c r="U23" s="23">
        <v>16640</v>
      </c>
    </row>
    <row r="24" spans="1:21" x14ac:dyDescent="0.35">
      <c r="A24" s="15">
        <v>2027</v>
      </c>
      <c r="B24" s="16" t="s">
        <v>12</v>
      </c>
      <c r="C24" s="17">
        <v>63425</v>
      </c>
      <c r="D24" s="17">
        <v>65096</v>
      </c>
      <c r="E24" s="17">
        <v>79282</v>
      </c>
      <c r="F24" s="17">
        <v>57770</v>
      </c>
      <c r="G24" s="17">
        <v>2964</v>
      </c>
      <c r="H24" s="17">
        <v>3724</v>
      </c>
      <c r="I24" s="17">
        <v>4447</v>
      </c>
      <c r="J24" s="17">
        <v>3728</v>
      </c>
      <c r="K24" s="17">
        <v>1512</v>
      </c>
      <c r="L24" s="18">
        <v>13071.34146607718</v>
      </c>
      <c r="M24" s="18">
        <v>21001.374488292124</v>
      </c>
      <c r="N24" s="18">
        <v>16782.534741553409</v>
      </c>
      <c r="O24" s="18">
        <v>6848.5639430162109</v>
      </c>
      <c r="P24" s="18">
        <v>7392.1853610610769</v>
      </c>
      <c r="Q24" s="18">
        <v>16194</v>
      </c>
      <c r="R24" s="18">
        <v>17093</v>
      </c>
      <c r="S24" s="18">
        <v>13495</v>
      </c>
      <c r="T24" s="18">
        <v>16644</v>
      </c>
      <c r="U24" s="19">
        <v>15856</v>
      </c>
    </row>
    <row r="25" spans="1:21" x14ac:dyDescent="0.35">
      <c r="A25" s="20">
        <v>2027</v>
      </c>
      <c r="B25" s="16" t="s">
        <v>13</v>
      </c>
      <c r="C25" s="21">
        <v>50564</v>
      </c>
      <c r="D25" s="21">
        <v>44623</v>
      </c>
      <c r="E25" s="21">
        <v>63206</v>
      </c>
      <c r="F25" s="21">
        <v>47770</v>
      </c>
      <c r="G25" s="21">
        <v>1754</v>
      </c>
      <c r="H25" s="21">
        <v>2767</v>
      </c>
      <c r="I25" s="21">
        <v>2046</v>
      </c>
      <c r="J25" s="21">
        <v>1432</v>
      </c>
      <c r="K25" s="21">
        <v>382</v>
      </c>
      <c r="L25" s="22">
        <v>10151.250774079783</v>
      </c>
      <c r="M25" s="22">
        <v>13637.025728606934</v>
      </c>
      <c r="N25" s="22">
        <v>10074.422460115798</v>
      </c>
      <c r="O25" s="22">
        <v>4256.8462184640593</v>
      </c>
      <c r="P25" s="22">
        <v>6503.454818733424</v>
      </c>
      <c r="Q25" s="22">
        <v>9496</v>
      </c>
      <c r="R25" s="22">
        <v>14718</v>
      </c>
      <c r="S25" s="22">
        <v>12107</v>
      </c>
      <c r="T25" s="22">
        <v>14244</v>
      </c>
      <c r="U25" s="23">
        <v>12641</v>
      </c>
    </row>
    <row r="26" spans="1:21" x14ac:dyDescent="0.35">
      <c r="A26" s="15">
        <v>2028</v>
      </c>
      <c r="B26" s="16" t="s">
        <v>4</v>
      </c>
      <c r="C26" s="17">
        <v>28026</v>
      </c>
      <c r="D26" s="17">
        <v>33543</v>
      </c>
      <c r="E26" s="17">
        <v>37835</v>
      </c>
      <c r="F26" s="17">
        <v>26660</v>
      </c>
      <c r="G26" s="17">
        <v>1511</v>
      </c>
      <c r="H26" s="17">
        <v>5603</v>
      </c>
      <c r="I26" s="17">
        <v>5741</v>
      </c>
      <c r="J26" s="17">
        <v>2858</v>
      </c>
      <c r="K26" s="17">
        <v>1164</v>
      </c>
      <c r="L26" s="18">
        <v>7381.8451474918056</v>
      </c>
      <c r="M26" s="18">
        <v>8409.9741542136544</v>
      </c>
      <c r="N26" s="18">
        <v>7244.885506360758</v>
      </c>
      <c r="O26" s="18">
        <v>4026.7997889006169</v>
      </c>
      <c r="P26" s="18">
        <v>6479.4954030331646</v>
      </c>
      <c r="Q26" s="18">
        <v>8185</v>
      </c>
      <c r="R26" s="18">
        <v>7567</v>
      </c>
      <c r="S26" s="18">
        <v>5405</v>
      </c>
      <c r="T26" s="18">
        <v>9111</v>
      </c>
      <c r="U26" s="19">
        <v>7567</v>
      </c>
    </row>
    <row r="27" spans="1:21" x14ac:dyDescent="0.35">
      <c r="A27" s="20">
        <v>2028</v>
      </c>
      <c r="B27" s="16" t="s">
        <v>5</v>
      </c>
      <c r="C27" s="21">
        <v>36152</v>
      </c>
      <c r="D27" s="21">
        <v>33555</v>
      </c>
      <c r="E27" s="21">
        <v>48805</v>
      </c>
      <c r="F27" s="21">
        <v>32060</v>
      </c>
      <c r="G27" s="21">
        <v>2881</v>
      </c>
      <c r="H27" s="21">
        <v>5551</v>
      </c>
      <c r="I27" s="21">
        <v>2481</v>
      </c>
      <c r="J27" s="21">
        <v>2067</v>
      </c>
      <c r="K27" s="21">
        <v>875</v>
      </c>
      <c r="L27" s="22">
        <v>5996.3606098068985</v>
      </c>
      <c r="M27" s="22">
        <v>5971.1099278390684</v>
      </c>
      <c r="N27" s="22">
        <v>8022.9532902428209</v>
      </c>
      <c r="O27" s="22">
        <v>5685.2361355604235</v>
      </c>
      <c r="P27" s="22">
        <v>7879.3400365507887</v>
      </c>
      <c r="Q27" s="22">
        <v>6428</v>
      </c>
      <c r="R27" s="22">
        <v>13808</v>
      </c>
      <c r="S27" s="22">
        <v>7856</v>
      </c>
      <c r="T27" s="22">
        <v>10951</v>
      </c>
      <c r="U27" s="23">
        <v>9762</v>
      </c>
    </row>
    <row r="28" spans="1:21" x14ac:dyDescent="0.35">
      <c r="A28" s="15">
        <v>2028</v>
      </c>
      <c r="B28" s="16" t="s">
        <v>0</v>
      </c>
      <c r="C28" s="17">
        <v>38644</v>
      </c>
      <c r="D28" s="17">
        <v>38370</v>
      </c>
      <c r="E28" s="17">
        <v>52169</v>
      </c>
      <c r="F28" s="17">
        <v>35760</v>
      </c>
      <c r="G28" s="17">
        <v>2045</v>
      </c>
      <c r="H28" s="17">
        <v>2765</v>
      </c>
      <c r="I28" s="17">
        <v>2278</v>
      </c>
      <c r="J28" s="17">
        <v>1140</v>
      </c>
      <c r="K28" s="17">
        <v>117</v>
      </c>
      <c r="L28" s="18">
        <v>5162.7025766212519</v>
      </c>
      <c r="M28" s="18">
        <v>4967.0323483551037</v>
      </c>
      <c r="N28" s="18">
        <v>10358.507259528131</v>
      </c>
      <c r="O28" s="18">
        <v>8247.3284808670542</v>
      </c>
      <c r="P28" s="18">
        <v>9634.4293346284594</v>
      </c>
      <c r="Q28" s="18">
        <v>8675</v>
      </c>
      <c r="R28" s="18">
        <v>12192</v>
      </c>
      <c r="S28" s="18">
        <v>6565</v>
      </c>
      <c r="T28" s="18">
        <v>14303</v>
      </c>
      <c r="U28" s="19">
        <v>10434</v>
      </c>
    </row>
    <row r="29" spans="1:21" x14ac:dyDescent="0.35">
      <c r="A29" s="20">
        <v>2028</v>
      </c>
      <c r="B29" s="16" t="s">
        <v>6</v>
      </c>
      <c r="C29" s="21">
        <v>35469</v>
      </c>
      <c r="D29" s="21">
        <v>44242</v>
      </c>
      <c r="E29" s="21">
        <v>47883</v>
      </c>
      <c r="F29" s="21">
        <v>36560</v>
      </c>
      <c r="G29" s="21">
        <v>263</v>
      </c>
      <c r="H29" s="21">
        <v>1412</v>
      </c>
      <c r="I29" s="21">
        <v>3836</v>
      </c>
      <c r="J29" s="21">
        <v>2081</v>
      </c>
      <c r="K29" s="21">
        <v>311</v>
      </c>
      <c r="L29" s="22">
        <v>4905.9119642439391</v>
      </c>
      <c r="M29" s="22">
        <v>5684.6151790881213</v>
      </c>
      <c r="N29" s="22">
        <v>12310.265547853282</v>
      </c>
      <c r="O29" s="22">
        <v>10837.293534604823</v>
      </c>
      <c r="P29" s="22">
        <v>10503.913774209834</v>
      </c>
      <c r="Q29" s="22">
        <v>9577</v>
      </c>
      <c r="R29" s="22">
        <v>13357</v>
      </c>
      <c r="S29" s="22">
        <v>7812</v>
      </c>
      <c r="T29" s="22">
        <v>7560</v>
      </c>
      <c r="U29" s="23">
        <v>9577</v>
      </c>
    </row>
    <row r="30" spans="1:21" x14ac:dyDescent="0.35">
      <c r="A30" s="15">
        <v>2028</v>
      </c>
      <c r="B30" s="16" t="s">
        <v>1</v>
      </c>
      <c r="C30" s="17">
        <v>29118</v>
      </c>
      <c r="D30" s="17">
        <v>42780</v>
      </c>
      <c r="E30" s="17">
        <v>39309</v>
      </c>
      <c r="F30" s="17">
        <v>34220</v>
      </c>
      <c r="G30" s="17">
        <v>1820</v>
      </c>
      <c r="H30" s="17">
        <v>3031</v>
      </c>
      <c r="I30" s="17">
        <v>2757</v>
      </c>
      <c r="J30" s="17">
        <v>1975</v>
      </c>
      <c r="K30" s="17">
        <v>1499</v>
      </c>
      <c r="L30" s="18">
        <v>5071.28710209568</v>
      </c>
      <c r="M30" s="18">
        <v>6959.7547504124159</v>
      </c>
      <c r="N30" s="18">
        <v>11211.355410276776</v>
      </c>
      <c r="O30" s="18">
        <v>10679.44791348445</v>
      </c>
      <c r="P30" s="18">
        <v>8858.1548237306779</v>
      </c>
      <c r="Q30" s="18">
        <v>10482</v>
      </c>
      <c r="R30" s="18">
        <v>7321</v>
      </c>
      <c r="S30" s="18">
        <v>4659</v>
      </c>
      <c r="T30" s="18">
        <v>8985</v>
      </c>
      <c r="U30" s="19">
        <v>7862</v>
      </c>
    </row>
    <row r="31" spans="1:21" x14ac:dyDescent="0.35">
      <c r="A31" s="20">
        <v>2028</v>
      </c>
      <c r="B31" s="16" t="s">
        <v>7</v>
      </c>
      <c r="C31" s="21">
        <v>23300</v>
      </c>
      <c r="D31" s="21">
        <v>36777</v>
      </c>
      <c r="E31" s="21">
        <v>31455</v>
      </c>
      <c r="F31" s="21">
        <v>29500</v>
      </c>
      <c r="G31" s="21">
        <v>4362</v>
      </c>
      <c r="H31" s="21">
        <v>4812</v>
      </c>
      <c r="I31" s="21">
        <v>4003</v>
      </c>
      <c r="J31" s="21">
        <v>2397</v>
      </c>
      <c r="K31" s="21">
        <v>2155</v>
      </c>
      <c r="L31" s="22">
        <v>5795.3927343975847</v>
      </c>
      <c r="M31" s="22">
        <v>7508.731018533389</v>
      </c>
      <c r="N31" s="22">
        <v>8594.097272990075</v>
      </c>
      <c r="O31" s="22">
        <v>8472.4247390229011</v>
      </c>
      <c r="P31" s="22">
        <v>6406.3542350560501</v>
      </c>
      <c r="Q31" s="22">
        <v>5091</v>
      </c>
      <c r="R31" s="22">
        <v>5527</v>
      </c>
      <c r="S31" s="22">
        <v>4364</v>
      </c>
      <c r="T31" s="22">
        <v>10182</v>
      </c>
      <c r="U31" s="23">
        <v>6291</v>
      </c>
    </row>
    <row r="32" spans="1:21" x14ac:dyDescent="0.35">
      <c r="A32" s="15">
        <v>2028</v>
      </c>
      <c r="B32" s="16" t="s">
        <v>8</v>
      </c>
      <c r="C32" s="17">
        <v>23093</v>
      </c>
      <c r="D32" s="17">
        <v>33575</v>
      </c>
      <c r="E32" s="17">
        <v>31175</v>
      </c>
      <c r="F32" s="17">
        <v>23820</v>
      </c>
      <c r="G32" s="17">
        <v>2507</v>
      </c>
      <c r="H32" s="17">
        <v>7399</v>
      </c>
      <c r="I32" s="17">
        <v>4559</v>
      </c>
      <c r="J32" s="17">
        <v>5121</v>
      </c>
      <c r="K32" s="17">
        <v>2213</v>
      </c>
      <c r="L32" s="18">
        <v>7298.308608836569</v>
      </c>
      <c r="M32" s="18">
        <v>7937.0813909492636</v>
      </c>
      <c r="N32" s="18">
        <v>6779.620315969074</v>
      </c>
      <c r="O32" s="18">
        <v>6461.7919073081239</v>
      </c>
      <c r="P32" s="18">
        <v>5098.1977769369705</v>
      </c>
      <c r="Q32" s="18">
        <v>5068</v>
      </c>
      <c r="R32" s="18">
        <v>4535</v>
      </c>
      <c r="S32" s="18">
        <v>9736</v>
      </c>
      <c r="T32" s="18">
        <v>5601</v>
      </c>
      <c r="U32" s="19">
        <v>6235</v>
      </c>
    </row>
    <row r="33" spans="1:21" x14ac:dyDescent="0.35">
      <c r="A33" s="20">
        <v>2028</v>
      </c>
      <c r="B33" s="16" t="s">
        <v>9</v>
      </c>
      <c r="C33" s="21">
        <v>32452</v>
      </c>
      <c r="D33" s="21">
        <v>34422</v>
      </c>
      <c r="E33" s="21">
        <v>43810</v>
      </c>
      <c r="F33" s="21">
        <v>19100</v>
      </c>
      <c r="G33" s="21">
        <v>3047</v>
      </c>
      <c r="H33" s="21">
        <v>3163</v>
      </c>
      <c r="I33" s="21">
        <v>8406</v>
      </c>
      <c r="J33" s="21">
        <v>2859</v>
      </c>
      <c r="K33" s="21">
        <v>846</v>
      </c>
      <c r="L33" s="22">
        <v>9544.6170991506733</v>
      </c>
      <c r="M33" s="22">
        <v>8118.1067054572759</v>
      </c>
      <c r="N33" s="22">
        <v>5979.5525315564728</v>
      </c>
      <c r="O33" s="22">
        <v>5579.246633194125</v>
      </c>
      <c r="P33" s="22">
        <v>5200.477030641453</v>
      </c>
      <c r="Q33" s="22">
        <v>9428</v>
      </c>
      <c r="R33" s="22">
        <v>7583</v>
      </c>
      <c r="S33" s="22">
        <v>9428</v>
      </c>
      <c r="T33" s="22">
        <v>8608</v>
      </c>
      <c r="U33" s="23">
        <v>8763</v>
      </c>
    </row>
    <row r="34" spans="1:21" x14ac:dyDescent="0.35">
      <c r="A34" s="15">
        <v>2028</v>
      </c>
      <c r="B34" s="16" t="s">
        <v>10</v>
      </c>
      <c r="C34" s="17">
        <v>37109</v>
      </c>
      <c r="D34" s="17">
        <v>38532</v>
      </c>
      <c r="E34" s="17">
        <v>50097</v>
      </c>
      <c r="F34" s="17">
        <v>16760</v>
      </c>
      <c r="G34" s="17">
        <v>2526</v>
      </c>
      <c r="H34" s="17">
        <v>2576</v>
      </c>
      <c r="I34" s="17">
        <v>8568</v>
      </c>
      <c r="J34" s="17">
        <v>9530</v>
      </c>
      <c r="K34" s="17">
        <v>5595</v>
      </c>
      <c r="L34" s="18">
        <v>11460.902330398758</v>
      </c>
      <c r="M34" s="18">
        <v>8311.4796478508542</v>
      </c>
      <c r="N34" s="18">
        <v>5993.0821336095287</v>
      </c>
      <c r="O34" s="18">
        <v>6048.9545313309163</v>
      </c>
      <c r="P34" s="18">
        <v>6717.5813568099438</v>
      </c>
      <c r="Q34" s="18">
        <v>7157</v>
      </c>
      <c r="R34" s="18">
        <v>13496</v>
      </c>
      <c r="S34" s="18">
        <v>11451</v>
      </c>
      <c r="T34" s="18">
        <v>7975</v>
      </c>
      <c r="U34" s="19">
        <v>10018</v>
      </c>
    </row>
    <row r="35" spans="1:21" x14ac:dyDescent="0.35">
      <c r="A35" s="20">
        <v>2028</v>
      </c>
      <c r="B35" s="16" t="s">
        <v>11</v>
      </c>
      <c r="C35" s="21">
        <v>37602</v>
      </c>
      <c r="D35" s="21">
        <v>43205</v>
      </c>
      <c r="E35" s="21">
        <v>50762</v>
      </c>
      <c r="F35" s="21">
        <v>17560</v>
      </c>
      <c r="G35" s="21">
        <v>3576</v>
      </c>
      <c r="H35" s="21">
        <v>5116</v>
      </c>
      <c r="I35" s="21">
        <v>3866</v>
      </c>
      <c r="J35" s="21">
        <v>3387</v>
      </c>
      <c r="K35" s="21">
        <v>1534</v>
      </c>
      <c r="L35" s="22">
        <v>11210.946675130932</v>
      </c>
      <c r="M35" s="22">
        <v>8667.7090560077395</v>
      </c>
      <c r="N35" s="22">
        <v>6614.5728191292392</v>
      </c>
      <c r="O35" s="22">
        <v>7779.5839662638582</v>
      </c>
      <c r="P35" s="22">
        <v>8932.187483468233</v>
      </c>
      <c r="Q35" s="22">
        <v>10255</v>
      </c>
      <c r="R35" s="22">
        <v>11691</v>
      </c>
      <c r="S35" s="22">
        <v>5333</v>
      </c>
      <c r="T35" s="22">
        <v>13331</v>
      </c>
      <c r="U35" s="23">
        <v>10152</v>
      </c>
    </row>
    <row r="36" spans="1:21" x14ac:dyDescent="0.35">
      <c r="A36" s="15">
        <v>2028</v>
      </c>
      <c r="B36" s="16" t="s">
        <v>12</v>
      </c>
      <c r="C36" s="17">
        <v>33906</v>
      </c>
      <c r="D36" s="17">
        <v>43752</v>
      </c>
      <c r="E36" s="17">
        <v>45773</v>
      </c>
      <c r="F36" s="17">
        <v>21260</v>
      </c>
      <c r="G36" s="17">
        <v>3008</v>
      </c>
      <c r="H36" s="17">
        <v>3718</v>
      </c>
      <c r="I36" s="17">
        <v>5994</v>
      </c>
      <c r="J36" s="17">
        <v>5349</v>
      </c>
      <c r="K36" s="17">
        <v>2272</v>
      </c>
      <c r="L36" s="18">
        <v>8587.6624028297629</v>
      </c>
      <c r="M36" s="18">
        <v>8695.334347879736</v>
      </c>
      <c r="N36" s="18">
        <v>7219.4189116933321</v>
      </c>
      <c r="O36" s="18">
        <v>9271.4842265454699</v>
      </c>
      <c r="P36" s="18">
        <v>9978.1001110517009</v>
      </c>
      <c r="Q36" s="18">
        <v>10672</v>
      </c>
      <c r="R36" s="18">
        <v>10672</v>
      </c>
      <c r="S36" s="18">
        <v>6905</v>
      </c>
      <c r="T36" s="18">
        <v>8370</v>
      </c>
      <c r="U36" s="19">
        <v>9154</v>
      </c>
    </row>
    <row r="37" spans="1:21" x14ac:dyDescent="0.35">
      <c r="A37" s="20">
        <v>2028</v>
      </c>
      <c r="B37" s="16" t="s">
        <v>13</v>
      </c>
      <c r="C37" s="21">
        <v>34372</v>
      </c>
      <c r="D37" s="21">
        <v>41665</v>
      </c>
      <c r="E37" s="21">
        <v>46402</v>
      </c>
      <c r="F37" s="21">
        <v>26660</v>
      </c>
      <c r="G37" s="21">
        <v>3131</v>
      </c>
      <c r="H37" s="21">
        <v>4514</v>
      </c>
      <c r="I37" s="21">
        <v>4313</v>
      </c>
      <c r="J37" s="21">
        <v>2682</v>
      </c>
      <c r="K37" s="21">
        <v>707</v>
      </c>
      <c r="L37" s="22">
        <v>6213.2133372208737</v>
      </c>
      <c r="M37" s="22">
        <v>8291.8549905241216</v>
      </c>
      <c r="N37" s="22">
        <v>7830.2280549410843</v>
      </c>
      <c r="O37" s="22">
        <v>9849.9779424348253</v>
      </c>
      <c r="P37" s="22">
        <v>9479.7256748790951</v>
      </c>
      <c r="Q37" s="22">
        <v>5924</v>
      </c>
      <c r="R37" s="22">
        <v>12242</v>
      </c>
      <c r="S37" s="22">
        <v>5924</v>
      </c>
      <c r="T37" s="22">
        <v>13032</v>
      </c>
      <c r="U37" s="23">
        <v>9280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EF7B-9865-42DE-A304-A2FE5CEE83D2}">
  <dimension ref="A3:T48"/>
  <sheetViews>
    <sheetView workbookViewId="0"/>
  </sheetViews>
  <sheetFormatPr defaultRowHeight="14.5" x14ac:dyDescent="0.35"/>
  <cols>
    <col min="1" max="1" width="14.90625" bestFit="1" customWidth="1"/>
    <col min="2" max="2" width="15.81640625" bestFit="1" customWidth="1"/>
    <col min="3" max="3" width="17.26953125" bestFit="1" customWidth="1"/>
    <col min="4" max="4" width="12.453125" bestFit="1" customWidth="1"/>
    <col min="5" max="5" width="14.36328125" bestFit="1" customWidth="1"/>
    <col min="6" max="6" width="10.6328125" bestFit="1" customWidth="1"/>
    <col min="7" max="8" width="10.90625" bestFit="1" customWidth="1"/>
    <col min="9" max="9" width="10.7265625" bestFit="1" customWidth="1"/>
    <col min="10" max="10" width="11.6328125" bestFit="1" customWidth="1"/>
    <col min="11" max="11" width="17.7265625" bestFit="1" customWidth="1"/>
    <col min="12" max="12" width="16.7265625" bestFit="1" customWidth="1"/>
    <col min="13" max="13" width="17" bestFit="1" customWidth="1"/>
    <col min="14" max="14" width="17.453125" bestFit="1" customWidth="1"/>
    <col min="15" max="15" width="15.1796875" bestFit="1" customWidth="1"/>
    <col min="16" max="16" width="17.7265625" bestFit="1" customWidth="1"/>
    <col min="17" max="17" width="16.7265625" bestFit="1" customWidth="1"/>
    <col min="18" max="18" width="17" bestFit="1" customWidth="1"/>
    <col min="19" max="19" width="17.453125" bestFit="1" customWidth="1"/>
    <col min="20" max="20" width="15.1796875" bestFit="1" customWidth="1"/>
  </cols>
  <sheetData>
    <row r="3" spans="1:20" x14ac:dyDescent="0.35">
      <c r="A3" s="14" t="s">
        <v>74</v>
      </c>
      <c r="B3" t="s">
        <v>76</v>
      </c>
      <c r="C3" t="s">
        <v>77</v>
      </c>
      <c r="D3" t="s">
        <v>81</v>
      </c>
      <c r="E3" t="s">
        <v>82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124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  <c r="R3" t="s">
        <v>131</v>
      </c>
      <c r="S3" t="s">
        <v>132</v>
      </c>
      <c r="T3" t="s">
        <v>133</v>
      </c>
    </row>
    <row r="4" spans="1:20" x14ac:dyDescent="0.35">
      <c r="A4" s="3" t="s">
        <v>4</v>
      </c>
      <c r="B4" s="24">
        <v>158607</v>
      </c>
      <c r="C4" s="24">
        <v>181803</v>
      </c>
      <c r="D4" s="24">
        <v>213064</v>
      </c>
      <c r="E4" s="24">
        <v>167090</v>
      </c>
      <c r="F4" s="31">
        <v>3291</v>
      </c>
      <c r="G4" s="31">
        <v>9340</v>
      </c>
      <c r="H4" s="31">
        <v>8624</v>
      </c>
      <c r="I4" s="31">
        <v>5833</v>
      </c>
      <c r="J4" s="31">
        <v>2723</v>
      </c>
      <c r="K4" s="24">
        <v>47181.20340374286</v>
      </c>
      <c r="L4" s="24">
        <v>32929.098897210642</v>
      </c>
      <c r="M4" s="24">
        <v>20206.216359602935</v>
      </c>
      <c r="N4" s="24">
        <v>32804.438702579733</v>
      </c>
      <c r="O4" s="24">
        <v>48682.042636863822</v>
      </c>
      <c r="P4" s="24">
        <v>36423</v>
      </c>
      <c r="Q4" s="24">
        <v>45531</v>
      </c>
      <c r="R4" s="24">
        <v>38736</v>
      </c>
      <c r="S4" s="24">
        <v>49760</v>
      </c>
      <c r="T4" s="24">
        <v>42614</v>
      </c>
    </row>
    <row r="5" spans="1:20" x14ac:dyDescent="0.35">
      <c r="A5" s="3" t="s">
        <v>5</v>
      </c>
      <c r="B5" s="24">
        <v>163412</v>
      </c>
      <c r="C5" s="24">
        <v>213109</v>
      </c>
      <c r="D5" s="24">
        <v>217456</v>
      </c>
      <c r="E5" s="24">
        <v>176280</v>
      </c>
      <c r="F5" s="31">
        <v>6546</v>
      </c>
      <c r="G5" s="31">
        <v>12793</v>
      </c>
      <c r="H5" s="31">
        <v>11662</v>
      </c>
      <c r="I5" s="31">
        <v>5353</v>
      </c>
      <c r="J5" s="31">
        <v>3719</v>
      </c>
      <c r="K5" s="24">
        <v>50162.129664163338</v>
      </c>
      <c r="L5" s="24">
        <v>44216.089911757117</v>
      </c>
      <c r="M5" s="24">
        <v>32559.330069211075</v>
      </c>
      <c r="N5" s="24">
        <v>32476.966714410148</v>
      </c>
      <c r="O5" s="24">
        <v>53694.483640458326</v>
      </c>
      <c r="P5" s="24">
        <v>50981</v>
      </c>
      <c r="Q5" s="24">
        <v>44905</v>
      </c>
      <c r="R5" s="24">
        <v>37254</v>
      </c>
      <c r="S5" s="24">
        <v>40825</v>
      </c>
      <c r="T5" s="24">
        <v>43491</v>
      </c>
    </row>
    <row r="6" spans="1:20" x14ac:dyDescent="0.35">
      <c r="A6" s="3" t="s">
        <v>0</v>
      </c>
      <c r="B6" s="24">
        <v>157149</v>
      </c>
      <c r="C6" s="24">
        <v>208503</v>
      </c>
      <c r="D6" s="24">
        <v>208210</v>
      </c>
      <c r="E6" s="24">
        <v>188840</v>
      </c>
      <c r="F6" s="31">
        <v>3057</v>
      </c>
      <c r="G6" s="31">
        <v>4863</v>
      </c>
      <c r="H6" s="31">
        <v>6996</v>
      </c>
      <c r="I6" s="31">
        <v>9189</v>
      </c>
      <c r="J6" s="31">
        <v>3866</v>
      </c>
      <c r="K6" s="24">
        <v>46922.360036015431</v>
      </c>
      <c r="L6" s="24">
        <v>27762.469365726276</v>
      </c>
      <c r="M6" s="24">
        <v>37191.914388779798</v>
      </c>
      <c r="N6" s="24">
        <v>46558.941998686772</v>
      </c>
      <c r="O6" s="24">
        <v>50067.314210791723</v>
      </c>
      <c r="P6" s="24">
        <v>52026</v>
      </c>
      <c r="Q6" s="24">
        <v>42269</v>
      </c>
      <c r="R6" s="24">
        <v>35101</v>
      </c>
      <c r="S6" s="24">
        <v>37171</v>
      </c>
      <c r="T6" s="24">
        <v>41643</v>
      </c>
    </row>
    <row r="7" spans="1:20" x14ac:dyDescent="0.35">
      <c r="A7" s="3" t="s">
        <v>6</v>
      </c>
      <c r="B7" s="24">
        <v>145548</v>
      </c>
      <c r="C7" s="24">
        <v>213081</v>
      </c>
      <c r="D7" s="24">
        <v>193036</v>
      </c>
      <c r="E7" s="24">
        <v>197680</v>
      </c>
      <c r="F7" s="31">
        <v>3300</v>
      </c>
      <c r="G7" s="31">
        <v>10998</v>
      </c>
      <c r="H7" s="31">
        <v>7358</v>
      </c>
      <c r="I7" s="31">
        <v>4959</v>
      </c>
      <c r="J7" s="31">
        <v>1251</v>
      </c>
      <c r="K7" s="24">
        <v>40028.106326330082</v>
      </c>
      <c r="L7" s="24">
        <v>32546.615410808103</v>
      </c>
      <c r="M7" s="24">
        <v>47725.925891419989</v>
      </c>
      <c r="N7" s="24">
        <v>49075.970229987863</v>
      </c>
      <c r="O7" s="24">
        <v>43704.382141453963</v>
      </c>
      <c r="P7" s="24">
        <v>37616</v>
      </c>
      <c r="Q7" s="24">
        <v>47810</v>
      </c>
      <c r="R7" s="24">
        <v>34748</v>
      </c>
      <c r="S7" s="24">
        <v>34255</v>
      </c>
      <c r="T7" s="24">
        <v>38607</v>
      </c>
    </row>
    <row r="8" spans="1:20" x14ac:dyDescent="0.35">
      <c r="A8" s="3" t="s">
        <v>1</v>
      </c>
      <c r="B8" s="24">
        <v>132209</v>
      </c>
      <c r="C8" s="24">
        <v>184298</v>
      </c>
      <c r="D8" s="24">
        <v>176771</v>
      </c>
      <c r="E8" s="24">
        <v>175730</v>
      </c>
      <c r="F8" s="31">
        <v>2905</v>
      </c>
      <c r="G8" s="31">
        <v>5688</v>
      </c>
      <c r="H8" s="31">
        <v>7702</v>
      </c>
      <c r="I8" s="31">
        <v>5602</v>
      </c>
      <c r="J8" s="31">
        <v>2403</v>
      </c>
      <c r="K8" s="24">
        <v>32137.079621618279</v>
      </c>
      <c r="L8" s="24">
        <v>28826.125042499698</v>
      </c>
      <c r="M8" s="24">
        <v>42259.064938756906</v>
      </c>
      <c r="N8" s="24">
        <v>44441.99105453668</v>
      </c>
      <c r="O8" s="24">
        <v>36633.739342588437</v>
      </c>
      <c r="P8" s="24">
        <v>26998</v>
      </c>
      <c r="Q8" s="24">
        <v>39660</v>
      </c>
      <c r="R8" s="24">
        <v>39537</v>
      </c>
      <c r="S8" s="24">
        <v>35222</v>
      </c>
      <c r="T8" s="24">
        <v>35354</v>
      </c>
    </row>
    <row r="9" spans="1:20" x14ac:dyDescent="0.35">
      <c r="A9" s="3" t="s">
        <v>7</v>
      </c>
      <c r="B9" s="24">
        <v>129959</v>
      </c>
      <c r="C9" s="24">
        <v>150233</v>
      </c>
      <c r="D9" s="24">
        <v>175509</v>
      </c>
      <c r="E9" s="24">
        <v>154450</v>
      </c>
      <c r="F9" s="31">
        <v>5933</v>
      </c>
      <c r="G9" s="31">
        <v>7120</v>
      </c>
      <c r="H9" s="31">
        <v>6083</v>
      </c>
      <c r="I9" s="31">
        <v>3834</v>
      </c>
      <c r="J9" s="31">
        <v>2434</v>
      </c>
      <c r="K9" s="24">
        <v>26943.410499045771</v>
      </c>
      <c r="L9" s="24">
        <v>30745.453419746791</v>
      </c>
      <c r="M9" s="24">
        <v>34741.524383154872</v>
      </c>
      <c r="N9" s="24">
        <v>32108.214616996709</v>
      </c>
      <c r="O9" s="24">
        <v>25694.397081055853</v>
      </c>
      <c r="P9" s="24">
        <v>26084</v>
      </c>
      <c r="Q9" s="24">
        <v>36977</v>
      </c>
      <c r="R9" s="24">
        <v>25050</v>
      </c>
      <c r="S9" s="24">
        <v>52297</v>
      </c>
      <c r="T9" s="24">
        <v>35101</v>
      </c>
    </row>
    <row r="10" spans="1:20" x14ac:dyDescent="0.35">
      <c r="A10" s="3" t="s">
        <v>8</v>
      </c>
      <c r="B10" s="24">
        <v>146774</v>
      </c>
      <c r="C10" s="24">
        <v>147069</v>
      </c>
      <c r="D10" s="24">
        <v>199059</v>
      </c>
      <c r="E10" s="24">
        <v>156210</v>
      </c>
      <c r="F10" s="31">
        <v>3457</v>
      </c>
      <c r="G10" s="31">
        <v>9046</v>
      </c>
      <c r="H10" s="31">
        <v>7439</v>
      </c>
      <c r="I10" s="31">
        <v>6312</v>
      </c>
      <c r="J10" s="31">
        <v>2813</v>
      </c>
      <c r="K10" s="24">
        <v>29362.342504064865</v>
      </c>
      <c r="L10" s="24">
        <v>36439.29778814772</v>
      </c>
      <c r="M10" s="24">
        <v>34541.520090203543</v>
      </c>
      <c r="N10" s="24">
        <v>24937.409641458336</v>
      </c>
      <c r="O10" s="24">
        <v>21788.429976125532</v>
      </c>
      <c r="P10" s="24">
        <v>51154</v>
      </c>
      <c r="Q10" s="24">
        <v>41236</v>
      </c>
      <c r="R10" s="24">
        <v>40096</v>
      </c>
      <c r="S10" s="24">
        <v>26762</v>
      </c>
      <c r="T10" s="24">
        <v>39811</v>
      </c>
    </row>
    <row r="11" spans="1:20" x14ac:dyDescent="0.35">
      <c r="A11" s="3" t="s">
        <v>9</v>
      </c>
      <c r="B11" s="24">
        <v>180990</v>
      </c>
      <c r="C11" s="24">
        <v>165210</v>
      </c>
      <c r="D11" s="24">
        <v>244898</v>
      </c>
      <c r="E11" s="24">
        <v>163830</v>
      </c>
      <c r="F11" s="31">
        <v>5464</v>
      </c>
      <c r="G11" s="31">
        <v>6582</v>
      </c>
      <c r="H11" s="31">
        <v>11862</v>
      </c>
      <c r="I11" s="31">
        <v>4450</v>
      </c>
      <c r="J11" s="31">
        <v>1981</v>
      </c>
      <c r="K11" s="24">
        <v>33070.304759848514</v>
      </c>
      <c r="L11" s="24">
        <v>43613.474116530924</v>
      </c>
      <c r="M11" s="24">
        <v>41407.750056876655</v>
      </c>
      <c r="N11" s="24">
        <v>24106.332043874398</v>
      </c>
      <c r="O11" s="24">
        <v>23012.139022869524</v>
      </c>
      <c r="P11" s="24">
        <v>45301</v>
      </c>
      <c r="Q11" s="24">
        <v>48816</v>
      </c>
      <c r="R11" s="24">
        <v>54589</v>
      </c>
      <c r="S11" s="24">
        <v>47212</v>
      </c>
      <c r="T11" s="24">
        <v>48980</v>
      </c>
    </row>
    <row r="12" spans="1:20" x14ac:dyDescent="0.35">
      <c r="A12" s="3" t="s">
        <v>10</v>
      </c>
      <c r="B12" s="24">
        <v>206570</v>
      </c>
      <c r="C12" s="24">
        <v>190579</v>
      </c>
      <c r="D12" s="24">
        <v>278384</v>
      </c>
      <c r="E12" s="24">
        <v>193310</v>
      </c>
      <c r="F12" s="31">
        <v>4422</v>
      </c>
      <c r="G12" s="31">
        <v>5218</v>
      </c>
      <c r="H12" s="31">
        <v>11477</v>
      </c>
      <c r="I12" s="31">
        <v>12770</v>
      </c>
      <c r="J12" s="31">
        <v>6741</v>
      </c>
      <c r="K12" s="24">
        <v>33872.918548286776</v>
      </c>
      <c r="L12" s="24">
        <v>46318.271797402413</v>
      </c>
      <c r="M12" s="24">
        <v>52370.035456005178</v>
      </c>
      <c r="N12" s="24">
        <v>31908.628687797416</v>
      </c>
      <c r="O12" s="24">
        <v>26109.14551050821</v>
      </c>
      <c r="P12" s="24">
        <v>55785</v>
      </c>
      <c r="Q12" s="24">
        <v>48028</v>
      </c>
      <c r="R12" s="24">
        <v>56002</v>
      </c>
      <c r="S12" s="24">
        <v>62895</v>
      </c>
      <c r="T12" s="24">
        <v>55674</v>
      </c>
    </row>
    <row r="13" spans="1:20" x14ac:dyDescent="0.35">
      <c r="A13" s="3" t="s">
        <v>11</v>
      </c>
      <c r="B13" s="24">
        <v>211487</v>
      </c>
      <c r="C13" s="24">
        <v>189272</v>
      </c>
      <c r="D13" s="24">
        <v>284217</v>
      </c>
      <c r="E13" s="24">
        <v>207390</v>
      </c>
      <c r="F13" s="31">
        <v>4975</v>
      </c>
      <c r="G13" s="31">
        <v>11867</v>
      </c>
      <c r="H13" s="31">
        <v>11120</v>
      </c>
      <c r="I13" s="31">
        <v>5307</v>
      </c>
      <c r="J13" s="31">
        <v>2155</v>
      </c>
      <c r="K13" s="24">
        <v>31213.004352400058</v>
      </c>
      <c r="L13" s="24">
        <v>41252.879403944193</v>
      </c>
      <c r="M13" s="24">
        <v>49283.801710322296</v>
      </c>
      <c r="N13" s="24">
        <v>37419.007589528162</v>
      </c>
      <c r="O13" s="24">
        <v>30103.306943805292</v>
      </c>
      <c r="P13" s="24">
        <v>81537</v>
      </c>
      <c r="Q13" s="24">
        <v>49019</v>
      </c>
      <c r="R13" s="24">
        <v>51034</v>
      </c>
      <c r="S13" s="24">
        <v>45785</v>
      </c>
      <c r="T13" s="24">
        <v>56842</v>
      </c>
    </row>
    <row r="14" spans="1:20" x14ac:dyDescent="0.35">
      <c r="A14" s="3" t="s">
        <v>12</v>
      </c>
      <c r="B14" s="24">
        <v>193602</v>
      </c>
      <c r="C14" s="24">
        <v>191424</v>
      </c>
      <c r="D14" s="24">
        <v>259834</v>
      </c>
      <c r="E14" s="24">
        <v>201850</v>
      </c>
      <c r="F14" s="31">
        <v>6309</v>
      </c>
      <c r="G14" s="31">
        <v>9845</v>
      </c>
      <c r="H14" s="31">
        <v>12498</v>
      </c>
      <c r="I14" s="31">
        <v>9815</v>
      </c>
      <c r="J14" s="31">
        <v>3995</v>
      </c>
      <c r="K14" s="24">
        <v>32351.050967028026</v>
      </c>
      <c r="L14" s="24">
        <v>41045.438690034076</v>
      </c>
      <c r="M14" s="24">
        <v>43771.923757630873</v>
      </c>
      <c r="N14" s="24">
        <v>39439.1816977454</v>
      </c>
      <c r="O14" s="24">
        <v>34816.404887561628</v>
      </c>
      <c r="P14" s="24">
        <v>69396</v>
      </c>
      <c r="Q14" s="24">
        <v>56518</v>
      </c>
      <c r="R14" s="24">
        <v>41965</v>
      </c>
      <c r="S14" s="24">
        <v>39989</v>
      </c>
      <c r="T14" s="24">
        <v>51966</v>
      </c>
    </row>
    <row r="15" spans="1:20" x14ac:dyDescent="0.35">
      <c r="A15" s="3" t="s">
        <v>13</v>
      </c>
      <c r="B15" s="24">
        <v>165026</v>
      </c>
      <c r="C15" s="24">
        <v>174768</v>
      </c>
      <c r="D15" s="24">
        <v>221734</v>
      </c>
      <c r="E15" s="24">
        <v>184830</v>
      </c>
      <c r="F15" s="31">
        <v>6554</v>
      </c>
      <c r="G15" s="31">
        <v>9054</v>
      </c>
      <c r="H15" s="31">
        <v>6764</v>
      </c>
      <c r="I15" s="31">
        <v>4515</v>
      </c>
      <c r="J15" s="31">
        <v>1393</v>
      </c>
      <c r="K15" s="24">
        <v>31865.274150781017</v>
      </c>
      <c r="L15" s="24">
        <v>33764.431499840386</v>
      </c>
      <c r="M15" s="24">
        <v>32247.273619307445</v>
      </c>
      <c r="N15" s="24">
        <v>37677.036326650494</v>
      </c>
      <c r="O15" s="24">
        <v>39213.984403420654</v>
      </c>
      <c r="P15" s="24">
        <v>37432</v>
      </c>
      <c r="Q15" s="24">
        <v>45120</v>
      </c>
      <c r="R15" s="24">
        <v>36191</v>
      </c>
      <c r="S15" s="24">
        <v>58644</v>
      </c>
      <c r="T15" s="24">
        <v>44347</v>
      </c>
    </row>
    <row r="16" spans="1:20" x14ac:dyDescent="0.35">
      <c r="A16" s="3" t="s">
        <v>75</v>
      </c>
      <c r="B16" s="24">
        <v>1991333</v>
      </c>
      <c r="C16" s="24">
        <v>2209349</v>
      </c>
      <c r="D16" s="24">
        <v>2672172</v>
      </c>
      <c r="E16" s="24">
        <v>2167490</v>
      </c>
      <c r="F16" s="24">
        <v>56213</v>
      </c>
      <c r="G16" s="24">
        <v>102414</v>
      </c>
      <c r="H16" s="24">
        <v>109585</v>
      </c>
      <c r="I16" s="24">
        <v>77939</v>
      </c>
      <c r="J16" s="24">
        <v>35474</v>
      </c>
      <c r="K16" s="24">
        <v>435109.18483332504</v>
      </c>
      <c r="L16" s="24">
        <v>439459.64534364839</v>
      </c>
      <c r="M16" s="24">
        <v>468306.28072127153</v>
      </c>
      <c r="N16" s="24">
        <v>432954.11930425209</v>
      </c>
      <c r="O16" s="24">
        <v>433519.76979750296</v>
      </c>
      <c r="P16" s="24">
        <v>570733</v>
      </c>
      <c r="Q16" s="24">
        <v>545889</v>
      </c>
      <c r="R16" s="24">
        <v>490303</v>
      </c>
      <c r="S16" s="24">
        <v>530817</v>
      </c>
      <c r="T16" s="24">
        <v>534430</v>
      </c>
    </row>
    <row r="20" spans="1:5" x14ac:dyDescent="0.35">
      <c r="A20" s="14" t="s">
        <v>74</v>
      </c>
      <c r="B20" t="s">
        <v>76</v>
      </c>
      <c r="C20" t="s">
        <v>77</v>
      </c>
      <c r="D20" t="s">
        <v>81</v>
      </c>
      <c r="E20" t="s">
        <v>82</v>
      </c>
    </row>
    <row r="21" spans="1:5" x14ac:dyDescent="0.35">
      <c r="A21" s="3" t="s">
        <v>4</v>
      </c>
      <c r="B21" s="24">
        <v>158607</v>
      </c>
      <c r="C21" s="24">
        <v>181803</v>
      </c>
      <c r="D21" s="31">
        <v>213064</v>
      </c>
      <c r="E21" s="31">
        <v>167090</v>
      </c>
    </row>
    <row r="22" spans="1:5" x14ac:dyDescent="0.35">
      <c r="A22" s="3" t="s">
        <v>5</v>
      </c>
      <c r="B22" s="24">
        <v>163412</v>
      </c>
      <c r="C22" s="24">
        <v>213109</v>
      </c>
      <c r="D22" s="31">
        <v>217456</v>
      </c>
      <c r="E22" s="31">
        <v>176280</v>
      </c>
    </row>
    <row r="23" spans="1:5" x14ac:dyDescent="0.35">
      <c r="A23" s="3" t="s">
        <v>0</v>
      </c>
      <c r="B23" s="24">
        <v>157149</v>
      </c>
      <c r="C23" s="24">
        <v>208503</v>
      </c>
      <c r="D23" s="31">
        <v>208210</v>
      </c>
      <c r="E23" s="31">
        <v>188840</v>
      </c>
    </row>
    <row r="24" spans="1:5" x14ac:dyDescent="0.35">
      <c r="A24" s="3" t="s">
        <v>6</v>
      </c>
      <c r="B24" s="24">
        <v>145548</v>
      </c>
      <c r="C24" s="24">
        <v>213081</v>
      </c>
      <c r="D24" s="31">
        <v>193036</v>
      </c>
      <c r="E24" s="31">
        <v>197680</v>
      </c>
    </row>
    <row r="25" spans="1:5" x14ac:dyDescent="0.35">
      <c r="A25" s="3" t="s">
        <v>1</v>
      </c>
      <c r="B25" s="24">
        <v>132209</v>
      </c>
      <c r="C25" s="24">
        <v>184298</v>
      </c>
      <c r="D25" s="31">
        <v>176771</v>
      </c>
      <c r="E25" s="31">
        <v>175730</v>
      </c>
    </row>
    <row r="26" spans="1:5" x14ac:dyDescent="0.35">
      <c r="A26" s="3" t="s">
        <v>7</v>
      </c>
      <c r="B26" s="24">
        <v>129959</v>
      </c>
      <c r="C26" s="24">
        <v>150233</v>
      </c>
      <c r="D26" s="31">
        <v>175509</v>
      </c>
      <c r="E26" s="31">
        <v>154450</v>
      </c>
    </row>
    <row r="27" spans="1:5" x14ac:dyDescent="0.35">
      <c r="A27" s="3" t="s">
        <v>8</v>
      </c>
      <c r="B27" s="24">
        <v>146774</v>
      </c>
      <c r="C27" s="24">
        <v>147069</v>
      </c>
      <c r="D27" s="31">
        <v>199059</v>
      </c>
      <c r="E27" s="31">
        <v>156210</v>
      </c>
    </row>
    <row r="28" spans="1:5" x14ac:dyDescent="0.35">
      <c r="A28" s="3" t="s">
        <v>9</v>
      </c>
      <c r="B28" s="24">
        <v>180990</v>
      </c>
      <c r="C28" s="24">
        <v>165210</v>
      </c>
      <c r="D28" s="31">
        <v>244898</v>
      </c>
      <c r="E28" s="31">
        <v>163830</v>
      </c>
    </row>
    <row r="29" spans="1:5" x14ac:dyDescent="0.35">
      <c r="A29" s="3" t="s">
        <v>10</v>
      </c>
      <c r="B29" s="24">
        <v>206570</v>
      </c>
      <c r="C29" s="24">
        <v>190579</v>
      </c>
      <c r="D29" s="31">
        <v>278384</v>
      </c>
      <c r="E29" s="31">
        <v>193310</v>
      </c>
    </row>
    <row r="30" spans="1:5" x14ac:dyDescent="0.35">
      <c r="A30" s="3" t="s">
        <v>11</v>
      </c>
      <c r="B30" s="24">
        <v>211487</v>
      </c>
      <c r="C30" s="24">
        <v>189272</v>
      </c>
      <c r="D30" s="31">
        <v>284217</v>
      </c>
      <c r="E30" s="31">
        <v>207390</v>
      </c>
    </row>
    <row r="31" spans="1:5" x14ac:dyDescent="0.35">
      <c r="A31" s="3" t="s">
        <v>12</v>
      </c>
      <c r="B31" s="24">
        <v>193602</v>
      </c>
      <c r="C31" s="24">
        <v>191424</v>
      </c>
      <c r="D31" s="31">
        <v>259834</v>
      </c>
      <c r="E31" s="31">
        <v>201850</v>
      </c>
    </row>
    <row r="32" spans="1:5" x14ac:dyDescent="0.35">
      <c r="A32" s="3" t="s">
        <v>13</v>
      </c>
      <c r="B32" s="24">
        <v>165026</v>
      </c>
      <c r="C32" s="24">
        <v>174768</v>
      </c>
      <c r="D32" s="31">
        <v>221734</v>
      </c>
      <c r="E32" s="31">
        <v>184830</v>
      </c>
    </row>
    <row r="33" spans="1:5" x14ac:dyDescent="0.35">
      <c r="A33" s="3" t="s">
        <v>75</v>
      </c>
      <c r="B33" s="31">
        <v>1991333</v>
      </c>
      <c r="C33" s="31">
        <v>2209349</v>
      </c>
      <c r="D33" s="31">
        <v>2672172</v>
      </c>
      <c r="E33" s="31">
        <v>2167490</v>
      </c>
    </row>
    <row r="35" spans="1:5" x14ac:dyDescent="0.35">
      <c r="A35" s="14" t="s">
        <v>74</v>
      </c>
    </row>
    <row r="36" spans="1:5" x14ac:dyDescent="0.35">
      <c r="A36" s="3">
        <v>2028</v>
      </c>
    </row>
    <row r="37" spans="1:5" x14ac:dyDescent="0.35">
      <c r="A37" s="3" t="s">
        <v>75</v>
      </c>
    </row>
    <row r="42" spans="1:5" x14ac:dyDescent="0.35">
      <c r="A42" s="14" t="s">
        <v>74</v>
      </c>
    </row>
    <row r="43" spans="1:5" x14ac:dyDescent="0.35">
      <c r="A43" s="3" t="s">
        <v>98</v>
      </c>
    </row>
    <row r="44" spans="1:5" x14ac:dyDescent="0.35">
      <c r="A44" s="3" t="s">
        <v>99</v>
      </c>
    </row>
    <row r="45" spans="1:5" x14ac:dyDescent="0.35">
      <c r="A45" s="3" t="s">
        <v>100</v>
      </c>
    </row>
    <row r="46" spans="1:5" x14ac:dyDescent="0.35">
      <c r="A46" s="3" t="s">
        <v>101</v>
      </c>
    </row>
    <row r="47" spans="1:5" x14ac:dyDescent="0.35">
      <c r="A47" s="3" t="s">
        <v>102</v>
      </c>
    </row>
    <row r="48" spans="1:5" x14ac:dyDescent="0.35">
      <c r="A48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15FB-BE5A-48BD-969B-1A7C7BA1BD47}">
  <dimension ref="A1:T32"/>
  <sheetViews>
    <sheetView tabSelected="1" workbookViewId="0">
      <selection activeCell="O30" sqref="O30"/>
    </sheetView>
  </sheetViews>
  <sheetFormatPr defaultRowHeight="14.5" x14ac:dyDescent="0.35"/>
  <cols>
    <col min="2" max="2" width="10.81640625" bestFit="1" customWidth="1"/>
    <col min="3" max="3" width="10.36328125" bestFit="1" customWidth="1"/>
    <col min="7" max="7" width="14.36328125" bestFit="1" customWidth="1"/>
    <col min="8" max="8" width="14.6328125" bestFit="1" customWidth="1"/>
    <col min="10" max="10" width="14.08984375" bestFit="1" customWidth="1"/>
    <col min="11" max="11" width="10.81640625" customWidth="1"/>
    <col min="12" max="12" width="11.36328125" bestFit="1" customWidth="1"/>
    <col min="13" max="13" width="10.81640625" bestFit="1" customWidth="1"/>
    <col min="14" max="14" width="9.81640625" bestFit="1" customWidth="1"/>
  </cols>
  <sheetData>
    <row r="1" spans="1:20" x14ac:dyDescent="0.35">
      <c r="A1" t="str">
        <f>B1&amp;" ve "&amp;C1</f>
        <v>Yatırımlar ve Satış Hacmi</v>
      </c>
      <c r="B1" s="25" t="s">
        <v>14</v>
      </c>
      <c r="C1" s="25" t="s">
        <v>15</v>
      </c>
      <c r="D1" t="s">
        <v>79</v>
      </c>
      <c r="E1" t="s">
        <v>78</v>
      </c>
      <c r="F1" t="s">
        <v>80</v>
      </c>
      <c r="H1" s="2" t="s">
        <v>104</v>
      </c>
      <c r="I1" s="2" t="s">
        <v>103</v>
      </c>
      <c r="J1" t="s">
        <v>136</v>
      </c>
      <c r="K1" t="s">
        <v>85</v>
      </c>
      <c r="L1" t="s">
        <v>80</v>
      </c>
      <c r="M1" t="s">
        <v>105</v>
      </c>
      <c r="N1" t="s">
        <v>106</v>
      </c>
      <c r="P1" t="s">
        <v>137</v>
      </c>
      <c r="S1" t="s">
        <v>123</v>
      </c>
    </row>
    <row r="2" spans="1:20" x14ac:dyDescent="0.35">
      <c r="A2" s="17" t="s">
        <v>4</v>
      </c>
      <c r="B2">
        <f>GETPIVOTDATA(""&amp;B$1,Pivot!$A$20,"Ay",""&amp;$A2)</f>
        <v>158607</v>
      </c>
      <c r="C2">
        <f>GETPIVOTDATA(""&amp;C$1,Pivot!$A$20,"Ay",""&amp;$A2)</f>
        <v>181803</v>
      </c>
      <c r="D2">
        <f>IFERROR(GETPIVOTDATA(""&amp;B$1,Pivot!$A$3,"Ay",""&amp;$A2),NA())</f>
        <v>158607</v>
      </c>
      <c r="E2">
        <f>IFERROR(GETPIVOTDATA(""&amp;C$1,Pivot!$A$3,"Ay",""&amp;$A2),NA())</f>
        <v>181803</v>
      </c>
      <c r="F2">
        <f>$F$14</f>
        <v>8524.36</v>
      </c>
      <c r="H2" s="2" t="s">
        <v>98</v>
      </c>
      <c r="I2" s="2" t="s">
        <v>18</v>
      </c>
      <c r="J2">
        <f>GETPIVOTDATA(""&amp;I2,Pivot!$A$3)</f>
        <v>56213</v>
      </c>
      <c r="K2">
        <f>IF(ISNUMBER(MATCH(H2,Pivot!$A$43:$A$47,0)),Analiz!J2,NA())</f>
        <v>56213</v>
      </c>
      <c r="L2">
        <f>$L$7</f>
        <v>4383.4000000000005</v>
      </c>
      <c r="M2" t="str">
        <f>IF(ISNA(K2),"",IF(K2&lt;1000,K2,ROUND(K2/1000,1)&amp;"K"))</f>
        <v>56,2K</v>
      </c>
      <c r="N2">
        <f>L2+K2</f>
        <v>60596.4</v>
      </c>
      <c r="P2" s="32" t="str">
        <f>IF(COUNTA(Pivot!A4:A6)=2,INDEX(L20:L31,MATCH(Pivot!A4,A2:A13,0)),"")</f>
        <v/>
      </c>
    </row>
    <row r="3" spans="1:20" x14ac:dyDescent="0.35">
      <c r="A3" s="21" t="s">
        <v>5</v>
      </c>
      <c r="B3">
        <f>GETPIVOTDATA(""&amp;B$1,Pivot!$A$20,"Ay",""&amp;$A3)</f>
        <v>163412</v>
      </c>
      <c r="C3">
        <f>GETPIVOTDATA(""&amp;C$1,Pivot!$A$20,"Ay",""&amp;$A3)</f>
        <v>213109</v>
      </c>
      <c r="D3">
        <f>IFERROR(GETPIVOTDATA(""&amp;B$1,Pivot!$A$3,"Ay",""&amp;$A3),NA())</f>
        <v>163412</v>
      </c>
      <c r="E3">
        <f>IFERROR(GETPIVOTDATA(""&amp;C$1,Pivot!$A$3,"Ay",""&amp;$A3),NA())</f>
        <v>213109</v>
      </c>
      <c r="F3">
        <f t="shared" ref="F3:F13" si="0">$F$14</f>
        <v>8524.36</v>
      </c>
      <c r="H3" s="2" t="s">
        <v>99</v>
      </c>
      <c r="I3" s="2" t="s">
        <v>19</v>
      </c>
      <c r="J3">
        <f>GETPIVOTDATA(""&amp;I3,Pivot!$A$3)</f>
        <v>102414</v>
      </c>
      <c r="K3">
        <f>IF(ISNUMBER(MATCH(H3,Pivot!$A$43:$A$47,0)),Analiz!J3,NA())</f>
        <v>102414</v>
      </c>
      <c r="L3">
        <f t="shared" ref="L3:L6" si="1">$L$7</f>
        <v>4383.4000000000005</v>
      </c>
      <c r="M3" t="str">
        <f t="shared" ref="M3:M7" si="2">IF(ISNA(K3),"",IF(K3&lt;1000,K3,ROUND(K3/1000,1)&amp;"K"))</f>
        <v>102,4K</v>
      </c>
      <c r="N3">
        <f t="shared" ref="N3:N7" si="3">L3+K3</f>
        <v>106797.4</v>
      </c>
      <c r="P3">
        <f>IF(COUNTA(Pivot!A36:A38)=2,Pivot!A36,"")</f>
        <v>2028</v>
      </c>
    </row>
    <row r="4" spans="1:20" x14ac:dyDescent="0.35">
      <c r="A4" s="17" t="s">
        <v>0</v>
      </c>
      <c r="B4">
        <f>GETPIVOTDATA(""&amp;B$1,Pivot!$A$20,"Ay",""&amp;$A4)</f>
        <v>157149</v>
      </c>
      <c r="C4">
        <f>GETPIVOTDATA(""&amp;C$1,Pivot!$A$20,"Ay",""&amp;$A4)</f>
        <v>208503</v>
      </c>
      <c r="D4">
        <f>IFERROR(GETPIVOTDATA(""&amp;B$1,Pivot!$A$3,"Ay",""&amp;$A4),NA())</f>
        <v>157149</v>
      </c>
      <c r="E4">
        <f>IFERROR(GETPIVOTDATA(""&amp;C$1,Pivot!$A$3,"Ay",""&amp;$A4),NA())</f>
        <v>208503</v>
      </c>
      <c r="F4">
        <f t="shared" si="0"/>
        <v>8524.36</v>
      </c>
      <c r="H4" s="2" t="s">
        <v>100</v>
      </c>
      <c r="I4" s="2" t="s">
        <v>20</v>
      </c>
      <c r="J4">
        <f>GETPIVOTDATA(""&amp;I4,Pivot!$A$3)</f>
        <v>109585</v>
      </c>
      <c r="K4">
        <f>IF(ISNUMBER(MATCH(H4,Pivot!$A$43:$A$47,0)),Analiz!J4,NA())</f>
        <v>109585</v>
      </c>
      <c r="L4">
        <f t="shared" si="1"/>
        <v>4383.4000000000005</v>
      </c>
      <c r="M4" t="str">
        <f t="shared" si="2"/>
        <v>109,6K</v>
      </c>
      <c r="N4">
        <f t="shared" si="3"/>
        <v>113968.4</v>
      </c>
    </row>
    <row r="5" spans="1:20" x14ac:dyDescent="0.35">
      <c r="A5" s="21" t="s">
        <v>6</v>
      </c>
      <c r="B5">
        <f>GETPIVOTDATA(""&amp;B$1,Pivot!$A$20,"Ay",""&amp;$A5)</f>
        <v>145548</v>
      </c>
      <c r="C5">
        <f>GETPIVOTDATA(""&amp;C$1,Pivot!$A$20,"Ay",""&amp;$A5)</f>
        <v>213081</v>
      </c>
      <c r="D5">
        <f>IFERROR(GETPIVOTDATA(""&amp;B$1,Pivot!$A$3,"Ay",""&amp;$A5),NA())</f>
        <v>145548</v>
      </c>
      <c r="E5">
        <f>IFERROR(GETPIVOTDATA(""&amp;C$1,Pivot!$A$3,"Ay",""&amp;$A5),NA())</f>
        <v>213081</v>
      </c>
      <c r="F5">
        <f t="shared" si="0"/>
        <v>8524.36</v>
      </c>
      <c r="H5" s="2" t="s">
        <v>101</v>
      </c>
      <c r="I5" s="2" t="s">
        <v>21</v>
      </c>
      <c r="J5">
        <f>GETPIVOTDATA(""&amp;I5,Pivot!$A$3)</f>
        <v>77939</v>
      </c>
      <c r="K5">
        <f>IF(ISNUMBER(MATCH(H5,Pivot!$A$43:$A$47,0)),Analiz!J5,NA())</f>
        <v>77939</v>
      </c>
      <c r="L5">
        <f t="shared" si="1"/>
        <v>4383.4000000000005</v>
      </c>
      <c r="M5" t="str">
        <f t="shared" si="2"/>
        <v>77,9K</v>
      </c>
      <c r="N5">
        <f t="shared" si="3"/>
        <v>82322.399999999994</v>
      </c>
    </row>
    <row r="6" spans="1:20" x14ac:dyDescent="0.35">
      <c r="A6" s="17" t="s">
        <v>1</v>
      </c>
      <c r="B6">
        <f>GETPIVOTDATA(""&amp;B$1,Pivot!$A$20,"Ay",""&amp;$A6)</f>
        <v>132209</v>
      </c>
      <c r="C6">
        <f>GETPIVOTDATA(""&amp;C$1,Pivot!$A$20,"Ay",""&amp;$A6)</f>
        <v>184298</v>
      </c>
      <c r="D6">
        <f>IFERROR(GETPIVOTDATA(""&amp;B$1,Pivot!$A$3,"Ay",""&amp;$A6),NA())</f>
        <v>132209</v>
      </c>
      <c r="E6">
        <f>IFERROR(GETPIVOTDATA(""&amp;C$1,Pivot!$A$3,"Ay",""&amp;$A6),NA())</f>
        <v>184298</v>
      </c>
      <c r="F6">
        <f t="shared" si="0"/>
        <v>8524.36</v>
      </c>
      <c r="H6" s="2" t="s">
        <v>102</v>
      </c>
      <c r="I6" s="2" t="s">
        <v>22</v>
      </c>
      <c r="J6">
        <f>GETPIVOTDATA(""&amp;I6,Pivot!$A$3)</f>
        <v>35474</v>
      </c>
      <c r="K6">
        <f>IF(ISNUMBER(MATCH(H6,Pivot!$A$43:$A$47,0)),Analiz!J6,NA())</f>
        <v>35474</v>
      </c>
      <c r="L6">
        <f t="shared" si="1"/>
        <v>4383.4000000000005</v>
      </c>
      <c r="M6" t="str">
        <f t="shared" si="2"/>
        <v>35,5K</v>
      </c>
      <c r="N6">
        <f t="shared" si="3"/>
        <v>39857.4</v>
      </c>
    </row>
    <row r="7" spans="1:20" x14ac:dyDescent="0.35">
      <c r="A7" s="21" t="s">
        <v>7</v>
      </c>
      <c r="B7">
        <f>GETPIVOTDATA(""&amp;B$1,Pivot!$A$20,"Ay",""&amp;$A7)</f>
        <v>129959</v>
      </c>
      <c r="C7">
        <f>GETPIVOTDATA(""&amp;C$1,Pivot!$A$20,"Ay",""&amp;$A7)</f>
        <v>150233</v>
      </c>
      <c r="D7">
        <f>IFERROR(GETPIVOTDATA(""&amp;B$1,Pivot!$A$3,"Ay",""&amp;$A7),NA())</f>
        <v>129959</v>
      </c>
      <c r="E7">
        <f>IFERROR(GETPIVOTDATA(""&amp;C$1,Pivot!$A$3,"Ay",""&amp;$A7),NA())</f>
        <v>150233</v>
      </c>
      <c r="F7">
        <f t="shared" si="0"/>
        <v>8524.36</v>
      </c>
      <c r="K7" s="29" cm="1">
        <f t="array" ref="K7">SUM(IFERROR(K2:K6,0))</f>
        <v>381625</v>
      </c>
      <c r="L7">
        <f>MAX(J2:J6)*4%</f>
        <v>4383.4000000000005</v>
      </c>
      <c r="M7" t="str">
        <f t="shared" si="2"/>
        <v>381,6K</v>
      </c>
      <c r="N7">
        <f t="shared" si="3"/>
        <v>386008.4</v>
      </c>
    </row>
    <row r="8" spans="1:20" x14ac:dyDescent="0.35">
      <c r="A8" s="17" t="s">
        <v>8</v>
      </c>
      <c r="B8">
        <f>GETPIVOTDATA(""&amp;B$1,Pivot!$A$20,"Ay",""&amp;$A8)</f>
        <v>146774</v>
      </c>
      <c r="C8">
        <f>GETPIVOTDATA(""&amp;C$1,Pivot!$A$20,"Ay",""&amp;$A8)</f>
        <v>147069</v>
      </c>
      <c r="D8">
        <f>IFERROR(GETPIVOTDATA(""&amp;B$1,Pivot!$A$3,"Ay",""&amp;$A8),NA())</f>
        <v>146774</v>
      </c>
      <c r="E8">
        <f>IFERROR(GETPIVOTDATA(""&amp;C$1,Pivot!$A$3,"Ay",""&amp;$A8),NA())</f>
        <v>147069</v>
      </c>
      <c r="F8">
        <f t="shared" si="0"/>
        <v>8524.36</v>
      </c>
    </row>
    <row r="9" spans="1:20" x14ac:dyDescent="0.35">
      <c r="A9" s="21" t="s">
        <v>9</v>
      </c>
      <c r="B9">
        <f>GETPIVOTDATA(""&amp;B$1,Pivot!$A$20,"Ay",""&amp;$A9)</f>
        <v>180990</v>
      </c>
      <c r="C9">
        <f>GETPIVOTDATA(""&amp;C$1,Pivot!$A$20,"Ay",""&amp;$A9)</f>
        <v>165210</v>
      </c>
      <c r="D9">
        <f>IFERROR(GETPIVOTDATA(""&amp;B$1,Pivot!$A$3,"Ay",""&amp;$A9),NA())</f>
        <v>180990</v>
      </c>
      <c r="E9">
        <f>IFERROR(GETPIVOTDATA(""&amp;C$1,Pivot!$A$3,"Ay",""&amp;$A9),NA())</f>
        <v>165210</v>
      </c>
      <c r="F9">
        <f t="shared" si="0"/>
        <v>8524.36</v>
      </c>
    </row>
    <row r="10" spans="1:20" x14ac:dyDescent="0.35">
      <c r="A10" s="17" t="s">
        <v>10</v>
      </c>
      <c r="B10">
        <f>GETPIVOTDATA(""&amp;B$1,Pivot!$A$20,"Ay",""&amp;$A10)</f>
        <v>206570</v>
      </c>
      <c r="C10">
        <f>GETPIVOTDATA(""&amp;C$1,Pivot!$A$20,"Ay",""&amp;$A10)</f>
        <v>190579</v>
      </c>
      <c r="D10">
        <f>IFERROR(GETPIVOTDATA(""&amp;B$1,Pivot!$A$3,"Ay",""&amp;$A10),NA())</f>
        <v>206570</v>
      </c>
      <c r="E10">
        <f>IFERROR(GETPIVOTDATA(""&amp;C$1,Pivot!$A$3,"Ay",""&amp;$A10),NA())</f>
        <v>190579</v>
      </c>
      <c r="F10">
        <f t="shared" si="0"/>
        <v>8524.36</v>
      </c>
      <c r="K10" t="s">
        <v>107</v>
      </c>
      <c r="L10" t="s">
        <v>108</v>
      </c>
      <c r="M10" t="s">
        <v>16</v>
      </c>
      <c r="N10" t="s">
        <v>109</v>
      </c>
      <c r="P10">
        <v>1</v>
      </c>
      <c r="Q10">
        <v>2</v>
      </c>
      <c r="R10">
        <v>3</v>
      </c>
      <c r="S10">
        <v>4</v>
      </c>
      <c r="T10">
        <v>5</v>
      </c>
    </row>
    <row r="11" spans="1:20" x14ac:dyDescent="0.35">
      <c r="A11" s="21" t="s">
        <v>11</v>
      </c>
      <c r="B11">
        <f>GETPIVOTDATA(""&amp;B$1,Pivot!$A$20,"Ay",""&amp;$A11)</f>
        <v>211487</v>
      </c>
      <c r="C11">
        <f>GETPIVOTDATA(""&amp;C$1,Pivot!$A$20,"Ay",""&amp;$A11)</f>
        <v>189272</v>
      </c>
      <c r="D11">
        <f>IFERROR(GETPIVOTDATA(""&amp;B$1,Pivot!$A$3,"Ay",""&amp;$A11),NA())</f>
        <v>211487</v>
      </c>
      <c r="E11">
        <f>IFERROR(GETPIVOTDATA(""&amp;C$1,Pivot!$A$3,"Ay",""&amp;$A11),NA())</f>
        <v>189272</v>
      </c>
      <c r="F11">
        <f t="shared" si="0"/>
        <v>8524.36</v>
      </c>
      <c r="K11" t="s">
        <v>109</v>
      </c>
      <c r="L11" t="s">
        <v>134</v>
      </c>
      <c r="M11" s="27">
        <f>GETPIVOTDATA(M$10&amp;" "&amp;$L11,Pivot!$A$3)</f>
        <v>570733</v>
      </c>
      <c r="N11" s="27">
        <f>GETPIVOTDATA(N$10&amp;" "&amp;$L11,Pivot!$A$3)</f>
        <v>435109.18483332504</v>
      </c>
      <c r="O11">
        <v>1</v>
      </c>
      <c r="P11">
        <v>72</v>
      </c>
      <c r="Q11">
        <v>72</v>
      </c>
      <c r="R11">
        <v>72</v>
      </c>
      <c r="S11">
        <v>72</v>
      </c>
      <c r="T11">
        <v>72</v>
      </c>
    </row>
    <row r="12" spans="1:20" x14ac:dyDescent="0.35">
      <c r="A12" s="17" t="s">
        <v>12</v>
      </c>
      <c r="B12">
        <f>GETPIVOTDATA(""&amp;B$1,Pivot!$A$20,"Ay",""&amp;$A12)</f>
        <v>193602</v>
      </c>
      <c r="C12">
        <f>GETPIVOTDATA(""&amp;C$1,Pivot!$A$20,"Ay",""&amp;$A12)</f>
        <v>191424</v>
      </c>
      <c r="D12">
        <f>IFERROR(GETPIVOTDATA(""&amp;B$1,Pivot!$A$3,"Ay",""&amp;$A12),NA())</f>
        <v>193602</v>
      </c>
      <c r="E12">
        <f>IFERROR(GETPIVOTDATA(""&amp;C$1,Pivot!$A$3,"Ay",""&amp;$A12),NA())</f>
        <v>191424</v>
      </c>
      <c r="F12">
        <f t="shared" si="0"/>
        <v>8524.36</v>
      </c>
      <c r="K12" t="s">
        <v>109</v>
      </c>
      <c r="L12" t="s">
        <v>110</v>
      </c>
      <c r="M12" s="27">
        <f>GETPIVOTDATA(M$10&amp;" "&amp;$L12,Pivot!$A$3)</f>
        <v>545889</v>
      </c>
      <c r="N12" s="27">
        <f>GETPIVOTDATA(N$10&amp;" "&amp;$L12,Pivot!$A$3)</f>
        <v>439459.64534364839</v>
      </c>
      <c r="O12">
        <v>2</v>
      </c>
      <c r="P12">
        <v>72</v>
      </c>
      <c r="Q12">
        <v>72</v>
      </c>
      <c r="R12">
        <v>72</v>
      </c>
      <c r="S12">
        <v>72</v>
      </c>
      <c r="T12">
        <v>72</v>
      </c>
    </row>
    <row r="13" spans="1:20" x14ac:dyDescent="0.35">
      <c r="A13" s="21" t="s">
        <v>13</v>
      </c>
      <c r="B13">
        <f>GETPIVOTDATA(""&amp;B$1,Pivot!$A$20,"Ay",""&amp;$A13)</f>
        <v>165026</v>
      </c>
      <c r="C13">
        <f>GETPIVOTDATA(""&amp;C$1,Pivot!$A$20,"Ay",""&amp;$A13)</f>
        <v>174768</v>
      </c>
      <c r="D13">
        <f>IFERROR(GETPIVOTDATA(""&amp;B$1,Pivot!$A$3,"Ay",""&amp;$A13),NA())</f>
        <v>165026</v>
      </c>
      <c r="E13">
        <f>IFERROR(GETPIVOTDATA(""&amp;C$1,Pivot!$A$3,"Ay",""&amp;$A13),NA())</f>
        <v>174768</v>
      </c>
      <c r="F13">
        <f t="shared" si="0"/>
        <v>8524.36</v>
      </c>
      <c r="K13" t="s">
        <v>109</v>
      </c>
      <c r="L13" t="s">
        <v>111</v>
      </c>
      <c r="M13" s="27">
        <f>GETPIVOTDATA(M$10&amp;" "&amp;$L13,Pivot!$A$3)</f>
        <v>490303</v>
      </c>
      <c r="N13" s="27">
        <f>GETPIVOTDATA(N$10&amp;" "&amp;$L13,Pivot!$A$3)</f>
        <v>468306.28072127153</v>
      </c>
      <c r="O13">
        <v>3</v>
      </c>
      <c r="P13">
        <v>72</v>
      </c>
      <c r="Q13">
        <v>72</v>
      </c>
      <c r="R13">
        <v>72</v>
      </c>
      <c r="S13">
        <v>72</v>
      </c>
      <c r="T13">
        <v>72</v>
      </c>
    </row>
    <row r="14" spans="1:20" x14ac:dyDescent="0.35">
      <c r="B14" s="26">
        <f>GETPIVOTDATA("Toplam Yatırımlar",Pivot!$A$3)</f>
        <v>1991333</v>
      </c>
      <c r="C14" s="26">
        <f>GETPIVOTDATA("Toplam Satış Hacmi",Pivot!$A$3)</f>
        <v>2209349</v>
      </c>
      <c r="F14">
        <f>MAX(B2:C13)*4%</f>
        <v>8524.36</v>
      </c>
      <c r="K14" t="s">
        <v>109</v>
      </c>
      <c r="L14" t="s">
        <v>112</v>
      </c>
      <c r="M14" s="27">
        <f>GETPIVOTDATA(M$10&amp;" "&amp;$L14,Pivot!$A$3)</f>
        <v>530817</v>
      </c>
      <c r="N14" s="27">
        <f>GETPIVOTDATA(N$10&amp;" "&amp;$L14,Pivot!$A$3)</f>
        <v>432954.11930425209</v>
      </c>
      <c r="O14">
        <v>4</v>
      </c>
      <c r="P14">
        <v>72</v>
      </c>
      <c r="Q14">
        <v>72</v>
      </c>
      <c r="R14">
        <v>72</v>
      </c>
      <c r="S14">
        <v>72</v>
      </c>
      <c r="T14">
        <v>72</v>
      </c>
    </row>
    <row r="15" spans="1:20" x14ac:dyDescent="0.35">
      <c r="A15" t="s">
        <v>114</v>
      </c>
      <c r="B15" s="30">
        <f>B14/$J$28</f>
        <v>0.41146117228847801</v>
      </c>
      <c r="C15" s="30">
        <f>C14/$J$28</f>
        <v>0.45650894628591832</v>
      </c>
      <c r="K15" t="s">
        <v>109</v>
      </c>
      <c r="L15" t="s">
        <v>113</v>
      </c>
      <c r="M15" s="27">
        <f>GETPIVOTDATA(M$10&amp;" "&amp;$L15,Pivot!$A$3)</f>
        <v>534430</v>
      </c>
      <c r="N15" s="27">
        <f>GETPIVOTDATA(N$10&amp;" "&amp;$L15,Pivot!$A$3)</f>
        <v>433519.76979750296</v>
      </c>
    </row>
    <row r="16" spans="1:20" x14ac:dyDescent="0.35">
      <c r="A16" t="s">
        <v>114</v>
      </c>
      <c r="B16" s="30">
        <f>1-B15</f>
        <v>0.58853882771152199</v>
      </c>
      <c r="C16" s="30">
        <f>1-C15</f>
        <v>0.54349105371408168</v>
      </c>
      <c r="M16" s="27">
        <f>SUM(M11:M15)</f>
        <v>2672172</v>
      </c>
      <c r="N16" s="27">
        <f>SUM(N11:N15)</f>
        <v>2209349</v>
      </c>
    </row>
    <row r="19" spans="1:12" x14ac:dyDescent="0.35">
      <c r="A19" t="str">
        <f>B19&amp;" ve "&amp;C19</f>
        <v>Gelir ve Giderler</v>
      </c>
      <c r="B19" s="25" t="s">
        <v>16</v>
      </c>
      <c r="C19" s="25" t="s">
        <v>17</v>
      </c>
      <c r="D19" t="s">
        <v>83</v>
      </c>
      <c r="E19" t="s">
        <v>84</v>
      </c>
      <c r="G19" t="s">
        <v>135</v>
      </c>
      <c r="H19" t="s">
        <v>85</v>
      </c>
      <c r="J19" t="s">
        <v>122</v>
      </c>
      <c r="K19" s="28">
        <f>J25/B14</f>
        <v>0.25343927911604941</v>
      </c>
    </row>
    <row r="20" spans="1:12" x14ac:dyDescent="0.35">
      <c r="A20" s="17" t="s">
        <v>4</v>
      </c>
      <c r="B20">
        <f>GETPIVOTDATA(""&amp;B$19,Pivot!$A$20,"Ay",""&amp;$A20)</f>
        <v>213064</v>
      </c>
      <c r="C20">
        <f>GETPIVOTDATA(""&amp;C$19,Pivot!$A$20,"Ay",""&amp;$A20)</f>
        <v>167090</v>
      </c>
      <c r="D20">
        <f>IFERROR(GETPIVOTDATA(""&amp;B$19,Pivot!$A$3,"Ay",""&amp;$A20),NA())</f>
        <v>213064</v>
      </c>
      <c r="E20">
        <f>IFERROR(GETPIVOTDATA(""&amp;C$19,Pivot!$A$3,"Ay",""&amp;$A20),NA())</f>
        <v>167090</v>
      </c>
      <c r="G20" s="28">
        <f>(B20-C20)/B2</f>
        <v>0.28986110322999614</v>
      </c>
      <c r="H20" s="28">
        <f>IF(ISNA(D20),D20,G20)</f>
        <v>0.28986110322999614</v>
      </c>
      <c r="J20" s="28">
        <f>IF(K19&lt;0,0,K19)</f>
        <v>0.25343927911604941</v>
      </c>
      <c r="L20" t="s">
        <v>86</v>
      </c>
    </row>
    <row r="21" spans="1:12" x14ac:dyDescent="0.35">
      <c r="A21" s="21" t="s">
        <v>5</v>
      </c>
      <c r="B21">
        <f>GETPIVOTDATA(""&amp;B$19,Pivot!$A$20,"Ay",""&amp;$A21)</f>
        <v>217456</v>
      </c>
      <c r="C21">
        <f>GETPIVOTDATA(""&amp;C$19,Pivot!$A$20,"Ay",""&amp;$A21)</f>
        <v>176280</v>
      </c>
      <c r="D21">
        <f>IFERROR(GETPIVOTDATA(""&amp;B$19,Pivot!$A$3,"Ay",""&amp;$A21),NA())</f>
        <v>217456</v>
      </c>
      <c r="E21">
        <f>IFERROR(GETPIVOTDATA(""&amp;C$19,Pivot!$A$3,"Ay",""&amp;$A21),NA())</f>
        <v>176280</v>
      </c>
      <c r="G21" s="28">
        <f t="shared" ref="G21:G31" si="4">(B21-C21)/B3</f>
        <v>0.25197659902577535</v>
      </c>
      <c r="H21" s="28">
        <f t="shared" ref="H21:H31" si="5">IF(ISNA(D21),D21,G21)</f>
        <v>0.25197659902577535</v>
      </c>
      <c r="J21" s="28">
        <f>IF(J20&lt;0,1-J22,1-J20)</f>
        <v>0.74656072088395065</v>
      </c>
      <c r="L21" t="s">
        <v>87</v>
      </c>
    </row>
    <row r="22" spans="1:12" x14ac:dyDescent="0.35">
      <c r="A22" s="17" t="s">
        <v>0</v>
      </c>
      <c r="B22">
        <f>GETPIVOTDATA(""&amp;B$19,Pivot!$A$20,"Ay",""&amp;$A22)</f>
        <v>208210</v>
      </c>
      <c r="C22">
        <f>GETPIVOTDATA(""&amp;C$19,Pivot!$A$20,"Ay",""&amp;$A22)</f>
        <v>188840</v>
      </c>
      <c r="D22">
        <f>IFERROR(GETPIVOTDATA(""&amp;B$19,Pivot!$A$3,"Ay",""&amp;$A22),NA())</f>
        <v>208210</v>
      </c>
      <c r="E22">
        <f>IFERROR(GETPIVOTDATA(""&amp;C$19,Pivot!$A$3,"Ay",""&amp;$A22),NA())</f>
        <v>188840</v>
      </c>
      <c r="G22" s="28">
        <f t="shared" si="4"/>
        <v>0.12325881806438475</v>
      </c>
      <c r="H22" s="28">
        <f t="shared" si="5"/>
        <v>0.12325881806438475</v>
      </c>
      <c r="J22" s="28">
        <f>IF(K19&lt;0,ABS(K19),0)</f>
        <v>0</v>
      </c>
      <c r="L22" t="s">
        <v>88</v>
      </c>
    </row>
    <row r="23" spans="1:12" x14ac:dyDescent="0.35">
      <c r="A23" s="21" t="s">
        <v>6</v>
      </c>
      <c r="B23">
        <f>GETPIVOTDATA(""&amp;B$19,Pivot!$A$20,"Ay",""&amp;$A23)</f>
        <v>193036</v>
      </c>
      <c r="C23">
        <f>GETPIVOTDATA(""&amp;C$19,Pivot!$A$20,"Ay",""&amp;$A23)</f>
        <v>197680</v>
      </c>
      <c r="D23">
        <f>IFERROR(GETPIVOTDATA(""&amp;B$19,Pivot!$A$3,"Ay",""&amp;$A23),NA())</f>
        <v>193036</v>
      </c>
      <c r="E23">
        <f>IFERROR(GETPIVOTDATA(""&amp;C$19,Pivot!$A$3,"Ay",""&amp;$A23),NA())</f>
        <v>197680</v>
      </c>
      <c r="G23" s="28">
        <f t="shared" si="4"/>
        <v>-3.190699975265892E-2</v>
      </c>
      <c r="H23" s="28">
        <f t="shared" si="5"/>
        <v>-3.190699975265892E-2</v>
      </c>
      <c r="L23" t="s">
        <v>89</v>
      </c>
    </row>
    <row r="24" spans="1:12" x14ac:dyDescent="0.35">
      <c r="A24" s="17" t="s">
        <v>1</v>
      </c>
      <c r="B24">
        <f>GETPIVOTDATA(""&amp;B$19,Pivot!$A$20,"Ay",""&amp;$A24)</f>
        <v>176771</v>
      </c>
      <c r="C24">
        <f>GETPIVOTDATA(""&amp;C$19,Pivot!$A$20,"Ay",""&amp;$A24)</f>
        <v>175730</v>
      </c>
      <c r="D24">
        <f>IFERROR(GETPIVOTDATA(""&amp;B$19,Pivot!$A$3,"Ay",""&amp;$A24),NA())</f>
        <v>176771</v>
      </c>
      <c r="E24">
        <f>IFERROR(GETPIVOTDATA(""&amp;C$19,Pivot!$A$3,"Ay",""&amp;$A24),NA())</f>
        <v>175730</v>
      </c>
      <c r="G24" s="28">
        <f t="shared" si="4"/>
        <v>7.8738966333608152E-3</v>
      </c>
      <c r="H24" s="28">
        <f t="shared" si="5"/>
        <v>7.8738966333608152E-3</v>
      </c>
      <c r="J24" t="s">
        <v>121</v>
      </c>
      <c r="L24" t="s">
        <v>90</v>
      </c>
    </row>
    <row r="25" spans="1:12" x14ac:dyDescent="0.35">
      <c r="A25" s="21" t="s">
        <v>7</v>
      </c>
      <c r="B25">
        <f>GETPIVOTDATA(""&amp;B$19,Pivot!$A$20,"Ay",""&amp;$A25)</f>
        <v>175509</v>
      </c>
      <c r="C25">
        <f>GETPIVOTDATA(""&amp;C$19,Pivot!$A$20,"Ay",""&amp;$A25)</f>
        <v>154450</v>
      </c>
      <c r="D25">
        <f>IFERROR(GETPIVOTDATA(""&amp;B$19,Pivot!$A$3,"Ay",""&amp;$A25),NA())</f>
        <v>175509</v>
      </c>
      <c r="E25">
        <f>IFERROR(GETPIVOTDATA(""&amp;C$19,Pivot!$A$3,"Ay",""&amp;$A25),NA())</f>
        <v>154450</v>
      </c>
      <c r="G25" s="28">
        <f t="shared" si="4"/>
        <v>0.16204341369201056</v>
      </c>
      <c r="H25" s="28">
        <f t="shared" si="5"/>
        <v>0.16204341369201056</v>
      </c>
      <c r="J25" s="27">
        <f>B32-C32</f>
        <v>504682</v>
      </c>
      <c r="L25" t="s">
        <v>91</v>
      </c>
    </row>
    <row r="26" spans="1:12" x14ac:dyDescent="0.35">
      <c r="A26" s="17" t="s">
        <v>8</v>
      </c>
      <c r="B26">
        <f>GETPIVOTDATA(""&amp;B$19,Pivot!$A$20,"Ay",""&amp;$A26)</f>
        <v>199059</v>
      </c>
      <c r="C26">
        <f>GETPIVOTDATA(""&amp;C$19,Pivot!$A$20,"Ay",""&amp;$A26)</f>
        <v>156210</v>
      </c>
      <c r="D26">
        <f>IFERROR(GETPIVOTDATA(""&amp;B$19,Pivot!$A$3,"Ay",""&amp;$A26),NA())</f>
        <v>199059</v>
      </c>
      <c r="E26">
        <f>IFERROR(GETPIVOTDATA(""&amp;C$19,Pivot!$A$3,"Ay",""&amp;$A26),NA())</f>
        <v>156210</v>
      </c>
      <c r="G26" s="28">
        <f t="shared" si="4"/>
        <v>0.29193862673225501</v>
      </c>
      <c r="H26" s="28">
        <f t="shared" si="5"/>
        <v>0.29193862673225501</v>
      </c>
      <c r="L26" t="s">
        <v>92</v>
      </c>
    </row>
    <row r="27" spans="1:12" x14ac:dyDescent="0.35">
      <c r="A27" s="21" t="s">
        <v>9</v>
      </c>
      <c r="B27">
        <f>GETPIVOTDATA(""&amp;B$19,Pivot!$A$20,"Ay",""&amp;$A27)</f>
        <v>244898</v>
      </c>
      <c r="C27">
        <f>GETPIVOTDATA(""&amp;C$19,Pivot!$A$20,"Ay",""&amp;$A27)</f>
        <v>163830</v>
      </c>
      <c r="D27">
        <f>IFERROR(GETPIVOTDATA(""&amp;B$19,Pivot!$A$3,"Ay",""&amp;$A27),NA())</f>
        <v>244898</v>
      </c>
      <c r="E27">
        <f>IFERROR(GETPIVOTDATA(""&amp;C$19,Pivot!$A$3,"Ay",""&amp;$A27),NA())</f>
        <v>163830</v>
      </c>
      <c r="G27" s="28">
        <f t="shared" si="4"/>
        <v>0.44791424940604452</v>
      </c>
      <c r="H27" s="28">
        <f t="shared" si="5"/>
        <v>0.44791424940604452</v>
      </c>
      <c r="J27" t="s">
        <v>115</v>
      </c>
      <c r="L27" t="s">
        <v>93</v>
      </c>
    </row>
    <row r="28" spans="1:12" x14ac:dyDescent="0.35">
      <c r="A28" s="17" t="s">
        <v>10</v>
      </c>
      <c r="B28">
        <f>GETPIVOTDATA(""&amp;B$19,Pivot!$A$20,"Ay",""&amp;$A28)</f>
        <v>278384</v>
      </c>
      <c r="C28">
        <f>GETPIVOTDATA(""&amp;C$19,Pivot!$A$20,"Ay",""&amp;$A28)</f>
        <v>193310</v>
      </c>
      <c r="D28">
        <f>IFERROR(GETPIVOTDATA(""&amp;B$19,Pivot!$A$3,"Ay",""&amp;$A28),NA())</f>
        <v>278384</v>
      </c>
      <c r="E28">
        <f>IFERROR(GETPIVOTDATA(""&amp;C$19,Pivot!$A$3,"Ay",""&amp;$A28),NA())</f>
        <v>193310</v>
      </c>
      <c r="G28" s="28">
        <f t="shared" si="4"/>
        <v>0.41184102241370962</v>
      </c>
      <c r="H28" s="28">
        <f t="shared" si="5"/>
        <v>0.41184102241370962</v>
      </c>
      <c r="J28" s="27">
        <f>B32+C32</f>
        <v>4839662</v>
      </c>
      <c r="L28" t="s">
        <v>94</v>
      </c>
    </row>
    <row r="29" spans="1:12" x14ac:dyDescent="0.35">
      <c r="A29" s="21" t="s">
        <v>11</v>
      </c>
      <c r="B29">
        <f>GETPIVOTDATA(""&amp;B$19,Pivot!$A$20,"Ay",""&amp;$A29)</f>
        <v>284217</v>
      </c>
      <c r="C29">
        <f>GETPIVOTDATA(""&amp;C$19,Pivot!$A$20,"Ay",""&amp;$A29)</f>
        <v>207390</v>
      </c>
      <c r="D29">
        <f>IFERROR(GETPIVOTDATA(""&amp;B$19,Pivot!$A$3,"Ay",""&amp;$A29),NA())</f>
        <v>284217</v>
      </c>
      <c r="E29">
        <f>IFERROR(GETPIVOTDATA(""&amp;C$19,Pivot!$A$3,"Ay",""&amp;$A29),NA())</f>
        <v>207390</v>
      </c>
      <c r="G29" s="28">
        <f t="shared" si="4"/>
        <v>0.36327055563698951</v>
      </c>
      <c r="H29" s="28">
        <f t="shared" si="5"/>
        <v>0.36327055563698951</v>
      </c>
      <c r="L29" t="s">
        <v>95</v>
      </c>
    </row>
    <row r="30" spans="1:12" x14ac:dyDescent="0.35">
      <c r="A30" s="17" t="s">
        <v>12</v>
      </c>
      <c r="B30">
        <f>GETPIVOTDATA(""&amp;B$19,Pivot!$A$20,"Ay",""&amp;$A30)</f>
        <v>259834</v>
      </c>
      <c r="C30">
        <f>GETPIVOTDATA(""&amp;C$19,Pivot!$A$20,"Ay",""&amp;$A30)</f>
        <v>201850</v>
      </c>
      <c r="D30">
        <f>IFERROR(GETPIVOTDATA(""&amp;B$19,Pivot!$A$3,"Ay",""&amp;$A30),NA())</f>
        <v>259834</v>
      </c>
      <c r="E30">
        <f>IFERROR(GETPIVOTDATA(""&amp;C$19,Pivot!$A$3,"Ay",""&amp;$A30),NA())</f>
        <v>201850</v>
      </c>
      <c r="G30" s="28">
        <f t="shared" si="4"/>
        <v>0.29950103821241514</v>
      </c>
      <c r="H30" s="28">
        <f t="shared" si="5"/>
        <v>0.29950103821241514</v>
      </c>
      <c r="L30" t="s">
        <v>96</v>
      </c>
    </row>
    <row r="31" spans="1:12" x14ac:dyDescent="0.35">
      <c r="A31" s="21" t="s">
        <v>13</v>
      </c>
      <c r="B31">
        <f>GETPIVOTDATA(""&amp;B$19,Pivot!$A$20,"Ay",""&amp;$A31)</f>
        <v>221734</v>
      </c>
      <c r="C31">
        <f>GETPIVOTDATA(""&amp;C$19,Pivot!$A$20,"Ay",""&amp;$A31)</f>
        <v>184830</v>
      </c>
      <c r="D31">
        <f>IFERROR(GETPIVOTDATA(""&amp;B$19,Pivot!$A$3,"Ay",""&amp;$A31),NA())</f>
        <v>221734</v>
      </c>
      <c r="E31">
        <f>IFERROR(GETPIVOTDATA(""&amp;C$19,Pivot!$A$3,"Ay",""&amp;$A31),NA())</f>
        <v>184830</v>
      </c>
      <c r="G31" s="28">
        <f t="shared" si="4"/>
        <v>0.22362536812381079</v>
      </c>
      <c r="H31" s="28">
        <f t="shared" si="5"/>
        <v>0.22362536812381079</v>
      </c>
      <c r="L31" t="s">
        <v>97</v>
      </c>
    </row>
    <row r="32" spans="1:12" x14ac:dyDescent="0.35">
      <c r="B32" s="26">
        <f>GETPIVOTDATA("Toplam Gelir",Pivot!$A$3)</f>
        <v>2672172</v>
      </c>
      <c r="C32" s="26">
        <f>GETPIVOTDATA("Toplam Giderler",Pivot!$A$3)</f>
        <v>2167490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0C06-A3A7-4E01-9028-4E75DA4E17C0}">
  <dimension ref="A1:L53"/>
  <sheetViews>
    <sheetView zoomScaleNormal="100" workbookViewId="0">
      <selection activeCell="Z20" sqref="Z20"/>
    </sheetView>
  </sheetViews>
  <sheetFormatPr defaultRowHeight="14.5" x14ac:dyDescent="0.35"/>
  <cols>
    <col min="4" max="4" width="11.90625" bestFit="1" customWidth="1"/>
  </cols>
  <sheetData>
    <row r="1" spans="1:12" x14ac:dyDescent="0.35">
      <c r="C1" s="1" t="s">
        <v>70</v>
      </c>
      <c r="D1" s="3" t="s">
        <v>71</v>
      </c>
      <c r="E1" t="s">
        <v>72</v>
      </c>
      <c r="G1" t="s">
        <v>73</v>
      </c>
      <c r="H1">
        <v>60</v>
      </c>
      <c r="I1">
        <v>100</v>
      </c>
      <c r="J1">
        <v>45</v>
      </c>
      <c r="K1">
        <v>135</v>
      </c>
      <c r="L1">
        <v>30</v>
      </c>
    </row>
    <row r="2" spans="1:12" x14ac:dyDescent="0.35">
      <c r="B2" s="4" t="s">
        <v>33</v>
      </c>
      <c r="C2">
        <v>35</v>
      </c>
      <c r="G2" t="s">
        <v>73</v>
      </c>
      <c r="H2">
        <v>20</v>
      </c>
      <c r="I2">
        <v>100</v>
      </c>
      <c r="J2">
        <v>15</v>
      </c>
      <c r="K2">
        <v>135</v>
      </c>
      <c r="L2">
        <v>3</v>
      </c>
    </row>
    <row r="3" spans="1:12" x14ac:dyDescent="0.35">
      <c r="B3" s="4" t="s">
        <v>34</v>
      </c>
      <c r="C3">
        <v>65</v>
      </c>
    </row>
    <row r="4" spans="1:12" x14ac:dyDescent="0.35">
      <c r="B4" t="s">
        <v>35</v>
      </c>
      <c r="C4">
        <v>0</v>
      </c>
    </row>
    <row r="5" spans="1:12" x14ac:dyDescent="0.35">
      <c r="B5" t="s">
        <v>36</v>
      </c>
      <c r="C5">
        <v>100</v>
      </c>
    </row>
    <row r="7" spans="1:12" x14ac:dyDescent="0.35">
      <c r="B7" s="4" t="s">
        <v>37</v>
      </c>
      <c r="C7">
        <v>62</v>
      </c>
    </row>
    <row r="8" spans="1:12" x14ac:dyDescent="0.35">
      <c r="B8" s="4" t="s">
        <v>38</v>
      </c>
      <c r="C8">
        <v>100</v>
      </c>
      <c r="E8">
        <v>135</v>
      </c>
    </row>
    <row r="9" spans="1:12" x14ac:dyDescent="0.35">
      <c r="B9" t="s">
        <v>39</v>
      </c>
      <c r="C9">
        <v>0</v>
      </c>
    </row>
    <row r="10" spans="1:12" x14ac:dyDescent="0.35">
      <c r="B10" t="s">
        <v>40</v>
      </c>
      <c r="C10">
        <v>77</v>
      </c>
      <c r="D10">
        <v>100</v>
      </c>
    </row>
    <row r="11" spans="1:12" x14ac:dyDescent="0.35">
      <c r="A11" t="s">
        <v>69</v>
      </c>
      <c r="B11" t="s">
        <v>41</v>
      </c>
      <c r="C11">
        <v>0</v>
      </c>
    </row>
    <row r="12" spans="1:12" x14ac:dyDescent="0.35">
      <c r="A12" t="s">
        <v>69</v>
      </c>
      <c r="B12" t="s">
        <v>42</v>
      </c>
      <c r="C12">
        <v>51</v>
      </c>
    </row>
    <row r="13" spans="1:12" x14ac:dyDescent="0.35">
      <c r="A13" t="s">
        <v>69</v>
      </c>
      <c r="B13" t="s">
        <v>43</v>
      </c>
      <c r="C13">
        <v>100</v>
      </c>
    </row>
    <row r="14" spans="1:12" x14ac:dyDescent="0.35">
      <c r="E14" s="5" t="s">
        <v>44</v>
      </c>
      <c r="F14" s="1"/>
      <c r="G14" s="1"/>
    </row>
    <row r="15" spans="1:12" x14ac:dyDescent="0.35">
      <c r="B15" t="s">
        <v>45</v>
      </c>
      <c r="C15">
        <v>0</v>
      </c>
      <c r="F15" s="1"/>
      <c r="G15" s="1"/>
    </row>
    <row r="16" spans="1:12" x14ac:dyDescent="0.35">
      <c r="B16" t="s">
        <v>46</v>
      </c>
      <c r="C16">
        <v>20</v>
      </c>
      <c r="E16" s="6" t="s">
        <v>47</v>
      </c>
      <c r="F16" s="1"/>
      <c r="G16" s="1"/>
    </row>
    <row r="17" spans="1:7" x14ac:dyDescent="0.35">
      <c r="B17" t="s">
        <v>48</v>
      </c>
      <c r="C17">
        <v>50</v>
      </c>
      <c r="F17" s="1"/>
      <c r="G17" s="1"/>
    </row>
    <row r="18" spans="1:7" x14ac:dyDescent="0.35">
      <c r="B18" t="s">
        <v>37</v>
      </c>
      <c r="C18">
        <v>100</v>
      </c>
      <c r="E18" s="7" t="s">
        <v>49</v>
      </c>
    </row>
    <row r="19" spans="1:7" x14ac:dyDescent="0.35">
      <c r="A19" t="s">
        <v>69</v>
      </c>
      <c r="B19" t="s">
        <v>50</v>
      </c>
      <c r="C19">
        <v>0</v>
      </c>
      <c r="E19" s="8" t="s">
        <v>51</v>
      </c>
      <c r="G19" s="1"/>
    </row>
    <row r="20" spans="1:7" x14ac:dyDescent="0.35">
      <c r="A20" t="s">
        <v>69</v>
      </c>
      <c r="B20" t="s">
        <v>52</v>
      </c>
      <c r="C20">
        <v>20</v>
      </c>
      <c r="E20" s="9" t="s">
        <v>53</v>
      </c>
      <c r="G20" s="1"/>
    </row>
    <row r="21" spans="1:7" x14ac:dyDescent="0.35">
      <c r="A21" t="s">
        <v>69</v>
      </c>
      <c r="B21" t="s">
        <v>54</v>
      </c>
      <c r="C21">
        <v>100</v>
      </c>
      <c r="G21" s="1"/>
    </row>
    <row r="22" spans="1:7" x14ac:dyDescent="0.35">
      <c r="E22" s="10" t="s">
        <v>55</v>
      </c>
    </row>
    <row r="23" spans="1:7" x14ac:dyDescent="0.35">
      <c r="E23" s="11" t="s">
        <v>56</v>
      </c>
    </row>
    <row r="24" spans="1:7" x14ac:dyDescent="0.35">
      <c r="B24" t="s">
        <v>57</v>
      </c>
      <c r="C24">
        <v>0</v>
      </c>
    </row>
    <row r="25" spans="1:7" x14ac:dyDescent="0.35">
      <c r="B25" t="s">
        <v>58</v>
      </c>
      <c r="C25">
        <v>10</v>
      </c>
    </row>
    <row r="26" spans="1:7" x14ac:dyDescent="0.35">
      <c r="B26" t="s">
        <v>37</v>
      </c>
      <c r="C26">
        <v>100</v>
      </c>
    </row>
    <row r="27" spans="1:7" x14ac:dyDescent="0.35">
      <c r="A27" t="s">
        <v>69</v>
      </c>
      <c r="B27" t="s">
        <v>52</v>
      </c>
      <c r="C27">
        <v>0</v>
      </c>
    </row>
    <row r="28" spans="1:7" x14ac:dyDescent="0.35">
      <c r="A28" t="s">
        <v>69</v>
      </c>
      <c r="B28" t="s">
        <v>54</v>
      </c>
      <c r="C28">
        <v>70</v>
      </c>
    </row>
    <row r="30" spans="1:7" x14ac:dyDescent="0.35">
      <c r="B30" t="s">
        <v>35</v>
      </c>
      <c r="C30">
        <v>0</v>
      </c>
    </row>
    <row r="31" spans="1:7" x14ac:dyDescent="0.35">
      <c r="B31" t="s">
        <v>59</v>
      </c>
      <c r="C31">
        <v>73</v>
      </c>
    </row>
    <row r="33" spans="1:2" x14ac:dyDescent="0.35">
      <c r="A33" t="s">
        <v>60</v>
      </c>
      <c r="B33" t="s">
        <v>61</v>
      </c>
    </row>
    <row r="36" spans="1:2" x14ac:dyDescent="0.35">
      <c r="B36" t="s">
        <v>62</v>
      </c>
    </row>
    <row r="37" spans="1:2" x14ac:dyDescent="0.35">
      <c r="B37" t="s">
        <v>55</v>
      </c>
    </row>
    <row r="38" spans="1:2" x14ac:dyDescent="0.35">
      <c r="B38" t="s">
        <v>63</v>
      </c>
    </row>
    <row r="39" spans="1:2" x14ac:dyDescent="0.35">
      <c r="B39" t="s">
        <v>64</v>
      </c>
    </row>
    <row r="40" spans="1:2" x14ac:dyDescent="0.35">
      <c r="B40" t="s">
        <v>35</v>
      </c>
    </row>
    <row r="41" spans="1:2" x14ac:dyDescent="0.35">
      <c r="B41" t="s">
        <v>65</v>
      </c>
    </row>
    <row r="44" spans="1:2" x14ac:dyDescent="0.35">
      <c r="B44" t="s">
        <v>35</v>
      </c>
    </row>
    <row r="45" spans="1:2" x14ac:dyDescent="0.35">
      <c r="B45" t="s">
        <v>66</v>
      </c>
    </row>
    <row r="46" spans="1:2" x14ac:dyDescent="0.35">
      <c r="B46" t="s">
        <v>49</v>
      </c>
    </row>
    <row r="47" spans="1:2" x14ac:dyDescent="0.35">
      <c r="B47" t="s">
        <v>51</v>
      </c>
    </row>
    <row r="50" spans="1:2" x14ac:dyDescent="0.35">
      <c r="B50" s="12" t="s">
        <v>67</v>
      </c>
    </row>
    <row r="51" spans="1:2" x14ac:dyDescent="0.35">
      <c r="B51" s="13" t="s">
        <v>68</v>
      </c>
    </row>
    <row r="53" spans="1:2" x14ac:dyDescent="0.35">
      <c r="A53" t="s">
        <v>69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Veri</vt:lpstr>
      <vt:lpstr>Pivot</vt:lpstr>
      <vt:lpstr>Analiz</vt:lpstr>
      <vt:lpstr>Kaynaklar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0</dc:creator>
  <cp:lastModifiedBy>Veri Analist</cp:lastModifiedBy>
  <dcterms:created xsi:type="dcterms:W3CDTF">2015-06-05T18:19:34Z</dcterms:created>
  <dcterms:modified xsi:type="dcterms:W3CDTF">2025-09-07T23:48:22Z</dcterms:modified>
</cp:coreProperties>
</file>