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kymehra\Google Drive\USDA HRL\Projects\Wind tunnel\ALS_analysis\"/>
    </mc:Choice>
  </mc:AlternateContent>
  <bookViews>
    <workbookView xWindow="0" yWindow="0" windowWidth="25200" windowHeight="11985"/>
  </bookViews>
  <sheets>
    <sheet name="Source Leaves - Trial 1" sheetId="1" r:id="rId1"/>
    <sheet name="Trap Leaves - Trial 1" sheetId="2" r:id="rId2"/>
    <sheet name="Source Leaves - Trial 2" sheetId="3" r:id="rId3"/>
    <sheet name="Trap Leaves - Trial 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3" i="1" l="1"/>
  <c r="H436" i="1"/>
  <c r="H445" i="1"/>
  <c r="H451" i="1"/>
  <c r="H454" i="1"/>
  <c r="H457" i="1"/>
  <c r="H460" i="1"/>
  <c r="H469" i="1"/>
  <c r="H478" i="1"/>
  <c r="H481" i="1"/>
  <c r="H487" i="1"/>
  <c r="H496" i="1"/>
  <c r="H514" i="1"/>
  <c r="H517" i="1"/>
  <c r="H529" i="1"/>
  <c r="H532" i="1"/>
  <c r="H541" i="1"/>
  <c r="H544" i="1"/>
  <c r="H550" i="1"/>
  <c r="H553" i="1"/>
  <c r="H556" i="1"/>
  <c r="H559" i="1"/>
  <c r="H562" i="1"/>
  <c r="H565" i="1"/>
  <c r="H568" i="1"/>
  <c r="H574" i="1"/>
  <c r="H577" i="1"/>
  <c r="H580" i="1"/>
  <c r="H583" i="1"/>
  <c r="H589" i="1"/>
  <c r="H592" i="1"/>
  <c r="H613" i="1"/>
  <c r="H616" i="1"/>
  <c r="H619" i="1"/>
  <c r="H631" i="1"/>
  <c r="H634" i="1"/>
  <c r="H637" i="1"/>
  <c r="H640" i="1"/>
  <c r="H649" i="1"/>
  <c r="H664" i="1"/>
  <c r="H667" i="1"/>
  <c r="H670" i="1"/>
  <c r="H673" i="1"/>
  <c r="H676" i="1"/>
  <c r="H11" i="1"/>
  <c r="H20" i="1"/>
  <c r="H26" i="1"/>
  <c r="H29" i="1"/>
  <c r="H32" i="1"/>
  <c r="H35" i="1"/>
  <c r="H38" i="1"/>
  <c r="H47" i="1"/>
  <c r="H50" i="1"/>
  <c r="H65" i="1"/>
  <c r="H68" i="1"/>
  <c r="H71" i="1"/>
  <c r="H83" i="1"/>
  <c r="H89" i="1"/>
  <c r="H92" i="1"/>
  <c r="H104" i="1"/>
  <c r="H116" i="1"/>
  <c r="H119" i="1"/>
  <c r="H131" i="1"/>
  <c r="H143" i="1"/>
  <c r="H152" i="1"/>
  <c r="H158" i="1"/>
  <c r="H164" i="1"/>
  <c r="H167" i="1"/>
  <c r="H170" i="1"/>
  <c r="H173" i="1"/>
  <c r="H176" i="1"/>
  <c r="H179" i="1"/>
  <c r="H182" i="1"/>
  <c r="H185" i="1"/>
  <c r="H197" i="1"/>
  <c r="H200" i="1"/>
  <c r="H209" i="1"/>
  <c r="H218" i="1"/>
  <c r="H224" i="1"/>
  <c r="H227" i="1"/>
  <c r="H230" i="1"/>
  <c r="H233" i="1"/>
  <c r="H236" i="1"/>
  <c r="H239" i="1"/>
  <c r="H242" i="1"/>
  <c r="H245" i="1"/>
  <c r="H248" i="1"/>
  <c r="H254" i="1"/>
  <c r="H257" i="1"/>
  <c r="H260" i="1"/>
  <c r="H263" i="1"/>
  <c r="H275" i="1"/>
  <c r="H278" i="1"/>
  <c r="H281" i="1"/>
  <c r="H284" i="1"/>
  <c r="H287" i="1"/>
  <c r="H299" i="1"/>
  <c r="H302" i="1"/>
  <c r="H305" i="1"/>
  <c r="H311" i="1"/>
  <c r="H317" i="1"/>
  <c r="H320" i="1"/>
  <c r="H341" i="1"/>
  <c r="H359" i="1"/>
  <c r="H362" i="1"/>
  <c r="H371" i="1"/>
  <c r="H374" i="1"/>
  <c r="H377" i="1"/>
  <c r="H380" i="1"/>
  <c r="H395" i="1"/>
  <c r="H416" i="1"/>
  <c r="H419" i="1"/>
  <c r="H425" i="1"/>
  <c r="H5" i="1"/>
  <c r="F8" i="1" l="1"/>
  <c r="H8" i="1" s="1"/>
  <c r="F4" i="1"/>
  <c r="G4" i="1" s="1"/>
  <c r="F3" i="1"/>
  <c r="F25" i="1"/>
  <c r="F19" i="1"/>
  <c r="F16" i="1"/>
  <c r="G16" i="1" s="1"/>
  <c r="F15" i="1"/>
  <c r="G15" i="1" s="1"/>
  <c r="F14" i="1"/>
  <c r="H14" i="1" s="1"/>
  <c r="F141" i="1"/>
  <c r="H140" i="1" s="1"/>
  <c r="F139" i="1"/>
  <c r="F137" i="1"/>
  <c r="H137" i="1" s="1"/>
  <c r="F162" i="1"/>
  <c r="H161" i="1" s="1"/>
  <c r="F155" i="1"/>
  <c r="F149" i="1"/>
  <c r="F147" i="1"/>
  <c r="G147" i="1" s="1"/>
  <c r="F146" i="1"/>
  <c r="F298" i="1"/>
  <c r="F297" i="1"/>
  <c r="F295" i="1"/>
  <c r="F294" i="1"/>
  <c r="F292" i="1"/>
  <c r="G292" i="1" s="1"/>
  <c r="F291" i="1"/>
  <c r="F272" i="1"/>
  <c r="F414" i="1"/>
  <c r="F411" i="1"/>
  <c r="H410" i="1" s="1"/>
  <c r="F409" i="1"/>
  <c r="H407" i="1" s="1"/>
  <c r="F422" i="1"/>
  <c r="F432" i="1"/>
  <c r="F429" i="1"/>
  <c r="G429" i="1" s="1"/>
  <c r="F428" i="1"/>
  <c r="F216" i="1"/>
  <c r="G216" i="1" s="1"/>
  <c r="F215" i="1"/>
  <c r="F214" i="1"/>
  <c r="G214" i="1" s="1"/>
  <c r="F213" i="1"/>
  <c r="F207" i="1"/>
  <c r="H206" i="1" s="1"/>
  <c r="F204" i="1"/>
  <c r="G204" i="1" s="1"/>
  <c r="F203" i="1"/>
  <c r="F196" i="1"/>
  <c r="G196" i="1" s="1"/>
  <c r="F194" i="1"/>
  <c r="F192" i="1"/>
  <c r="F64" i="1"/>
  <c r="G64" i="1" s="1"/>
  <c r="F63" i="1"/>
  <c r="G63" i="1" s="1"/>
  <c r="F62" i="1"/>
  <c r="H62" i="1" s="1"/>
  <c r="F60" i="1"/>
  <c r="F58" i="1"/>
  <c r="G58" i="1" s="1"/>
  <c r="F57" i="1"/>
  <c r="G57" i="1" s="1"/>
  <c r="F56" i="1"/>
  <c r="F82" i="1"/>
  <c r="G82" i="1" s="1"/>
  <c r="F81" i="1"/>
  <c r="G81" i="1" s="1"/>
  <c r="F80" i="1"/>
  <c r="F78" i="1"/>
  <c r="F77" i="1"/>
  <c r="F76" i="1"/>
  <c r="G76" i="1" s="1"/>
  <c r="F75" i="1"/>
  <c r="G75" i="1" s="1"/>
  <c r="F74" i="1"/>
  <c r="F351" i="1"/>
  <c r="G351" i="1" s="1"/>
  <c r="F350" i="1"/>
  <c r="F349" i="1"/>
  <c r="G349" i="1" s="1"/>
  <c r="F348" i="1"/>
  <c r="G348" i="1" s="1"/>
  <c r="F347" i="1"/>
  <c r="G138" i="1"/>
  <c r="G139" i="1"/>
  <c r="G140" i="1"/>
  <c r="G141" i="1"/>
  <c r="G142" i="1"/>
  <c r="G143" i="1"/>
  <c r="G144" i="1"/>
  <c r="G145" i="1"/>
  <c r="G11" i="1"/>
  <c r="G12" i="1"/>
  <c r="G13" i="1"/>
  <c r="G14" i="1"/>
  <c r="G17" i="1"/>
  <c r="G18" i="1"/>
  <c r="G20" i="1"/>
  <c r="G21" i="1"/>
  <c r="G22" i="1"/>
  <c r="G23" i="1"/>
  <c r="G24" i="1"/>
  <c r="G26" i="1"/>
  <c r="G27" i="1"/>
  <c r="G28" i="1"/>
  <c r="G2" i="1"/>
  <c r="G5" i="1"/>
  <c r="G6" i="1"/>
  <c r="G7" i="1"/>
  <c r="G8" i="1"/>
  <c r="G9" i="1"/>
  <c r="G10" i="1"/>
  <c r="F346" i="1"/>
  <c r="G346" i="1" s="1"/>
  <c r="F345" i="1"/>
  <c r="G345" i="1" s="1"/>
  <c r="F344" i="1"/>
  <c r="F339" i="1"/>
  <c r="F337" i="1"/>
  <c r="G337" i="1" s="1"/>
  <c r="F336" i="1"/>
  <c r="G336" i="1" s="1"/>
  <c r="F335" i="1"/>
  <c r="H335" i="1" s="1"/>
  <c r="F333" i="1"/>
  <c r="F329" i="1"/>
  <c r="F328" i="1"/>
  <c r="G328" i="1" s="1"/>
  <c r="F327" i="1"/>
  <c r="F477" i="1"/>
  <c r="F473" i="1"/>
  <c r="G473" i="1" s="1"/>
  <c r="F472" i="1"/>
  <c r="F468" i="1"/>
  <c r="G468" i="1" s="1"/>
  <c r="F466" i="1"/>
  <c r="F465" i="1"/>
  <c r="F486" i="1"/>
  <c r="G486" i="1" s="1"/>
  <c r="F485" i="1"/>
  <c r="G485" i="1" s="1"/>
  <c r="F484" i="1"/>
  <c r="F611" i="1"/>
  <c r="F610" i="1"/>
  <c r="F609" i="1"/>
  <c r="G609" i="1" s="1"/>
  <c r="F607" i="1"/>
  <c r="F606" i="1"/>
  <c r="G606" i="1" s="1"/>
  <c r="G156" i="1"/>
  <c r="G157" i="1"/>
  <c r="G158" i="1"/>
  <c r="G159" i="1"/>
  <c r="G160" i="1"/>
  <c r="G161" i="1"/>
  <c r="G162" i="1"/>
  <c r="G163" i="1"/>
  <c r="G137" i="1"/>
  <c r="G604" i="1"/>
  <c r="G608" i="1"/>
  <c r="G611" i="1"/>
  <c r="G612" i="1"/>
  <c r="G613" i="1"/>
  <c r="G614" i="1"/>
  <c r="G615" i="1"/>
  <c r="G616" i="1"/>
  <c r="G617" i="1"/>
  <c r="G618" i="1"/>
  <c r="G619" i="1"/>
  <c r="G620" i="1"/>
  <c r="G621" i="1"/>
  <c r="G478" i="1"/>
  <c r="G479" i="1"/>
  <c r="G480" i="1"/>
  <c r="G481" i="1"/>
  <c r="G482" i="1"/>
  <c r="G483" i="1"/>
  <c r="G460" i="1"/>
  <c r="G461" i="1"/>
  <c r="G462" i="1"/>
  <c r="G463" i="1"/>
  <c r="G464" i="1"/>
  <c r="G467" i="1"/>
  <c r="G469" i="1"/>
  <c r="G470" i="1"/>
  <c r="G471" i="1"/>
  <c r="G474" i="1"/>
  <c r="G475" i="1"/>
  <c r="G476" i="1"/>
  <c r="G326" i="1"/>
  <c r="G330" i="1"/>
  <c r="G331" i="1"/>
  <c r="G332" i="1"/>
  <c r="G334" i="1"/>
  <c r="G335" i="1"/>
  <c r="G338" i="1"/>
  <c r="G340" i="1"/>
  <c r="G341" i="1"/>
  <c r="G342" i="1"/>
  <c r="G343" i="1"/>
  <c r="G352" i="1"/>
  <c r="G78" i="1"/>
  <c r="G79" i="1"/>
  <c r="G59" i="1"/>
  <c r="G61" i="1"/>
  <c r="G62" i="1"/>
  <c r="G65" i="1"/>
  <c r="G66" i="1"/>
  <c r="G67" i="1"/>
  <c r="G68" i="1"/>
  <c r="G69" i="1"/>
  <c r="G70" i="1"/>
  <c r="G71" i="1"/>
  <c r="G72" i="1"/>
  <c r="G73" i="1"/>
  <c r="G191" i="1"/>
  <c r="G193" i="1"/>
  <c r="G195" i="1"/>
  <c r="G197" i="1"/>
  <c r="G198" i="1"/>
  <c r="G199" i="1"/>
  <c r="G200" i="1"/>
  <c r="G201" i="1"/>
  <c r="G202" i="1"/>
  <c r="G205" i="1"/>
  <c r="G206" i="1"/>
  <c r="G207" i="1"/>
  <c r="G208" i="1"/>
  <c r="G209" i="1"/>
  <c r="G210" i="1"/>
  <c r="G211" i="1"/>
  <c r="G212" i="1"/>
  <c r="G217" i="1"/>
  <c r="G425" i="1"/>
  <c r="G426" i="1"/>
  <c r="G427" i="1"/>
  <c r="G430" i="1"/>
  <c r="G431" i="1"/>
  <c r="G416" i="1"/>
  <c r="G417" i="1"/>
  <c r="G418" i="1"/>
  <c r="G419" i="1"/>
  <c r="G420" i="1"/>
  <c r="G421" i="1"/>
  <c r="G423" i="1"/>
  <c r="G424" i="1"/>
  <c r="G407" i="1"/>
  <c r="G408" i="1"/>
  <c r="G409" i="1"/>
  <c r="G410" i="1"/>
  <c r="G411" i="1"/>
  <c r="G412" i="1"/>
  <c r="G413" i="1"/>
  <c r="G415" i="1"/>
  <c r="G281" i="1"/>
  <c r="G282" i="1"/>
  <c r="G283" i="1"/>
  <c r="G284" i="1"/>
  <c r="G285" i="1"/>
  <c r="G286" i="1"/>
  <c r="G287" i="1"/>
  <c r="G288" i="1"/>
  <c r="G289" i="1"/>
  <c r="G273" i="1"/>
  <c r="G274" i="1"/>
  <c r="G275" i="1"/>
  <c r="G276" i="1"/>
  <c r="G277" i="1"/>
  <c r="G278" i="1"/>
  <c r="G279" i="1"/>
  <c r="G280" i="1"/>
  <c r="G290" i="1"/>
  <c r="G293" i="1"/>
  <c r="G295" i="1"/>
  <c r="G296" i="1"/>
  <c r="G298" i="1"/>
  <c r="G148" i="1"/>
  <c r="G150" i="1"/>
  <c r="G151" i="1"/>
  <c r="G152" i="1"/>
  <c r="G153" i="1"/>
  <c r="G154" i="1"/>
  <c r="F605" i="1"/>
  <c r="F602" i="1"/>
  <c r="F600" i="1"/>
  <c r="G600" i="1" s="1"/>
  <c r="F599" i="1"/>
  <c r="F597" i="1"/>
  <c r="G597" i="1" s="1"/>
  <c r="F596" i="1"/>
  <c r="G596" i="1" s="1"/>
  <c r="F595" i="1"/>
  <c r="F100" i="1"/>
  <c r="G100" i="1" s="1"/>
  <c r="F99" i="1"/>
  <c r="F96" i="1"/>
  <c r="F109" i="1"/>
  <c r="G109" i="1" s="1"/>
  <c r="F108" i="1"/>
  <c r="F103" i="1"/>
  <c r="F102" i="1"/>
  <c r="F101" i="1"/>
  <c r="H101" i="1" s="1"/>
  <c r="G603" i="1"/>
  <c r="G601" i="1"/>
  <c r="G598" i="1"/>
  <c r="G98" i="1"/>
  <c r="G97" i="1"/>
  <c r="G95" i="1"/>
  <c r="G94" i="1"/>
  <c r="G93" i="1"/>
  <c r="G92" i="1"/>
  <c r="G107" i="1"/>
  <c r="G106" i="1"/>
  <c r="G105" i="1"/>
  <c r="F88" i="1"/>
  <c r="F87" i="1"/>
  <c r="F223" i="1"/>
  <c r="H221" i="1" s="1"/>
  <c r="F370" i="1"/>
  <c r="F369" i="1"/>
  <c r="F368" i="1"/>
  <c r="H368" i="1" s="1"/>
  <c r="F367" i="1"/>
  <c r="F365" i="1"/>
  <c r="H365" i="1" s="1"/>
  <c r="F358" i="1"/>
  <c r="F356" i="1"/>
  <c r="F354" i="1"/>
  <c r="H353" i="1" s="1"/>
  <c r="F494" i="1"/>
  <c r="F493" i="1"/>
  <c r="H493" i="1" s="1"/>
  <c r="F491" i="1"/>
  <c r="H490" i="1" s="1"/>
  <c r="F504" i="1"/>
  <c r="F503" i="1"/>
  <c r="F502" i="1"/>
  <c r="H502" i="1" s="1"/>
  <c r="F501" i="1"/>
  <c r="F500" i="1"/>
  <c r="F499" i="1"/>
  <c r="F512" i="1"/>
  <c r="F511" i="1"/>
  <c r="H511" i="1" s="1"/>
  <c r="F509" i="1"/>
  <c r="F508" i="1"/>
  <c r="H508" i="1" s="1"/>
  <c r="F507" i="1"/>
  <c r="F506" i="1"/>
  <c r="F505" i="1"/>
  <c r="G640" i="1"/>
  <c r="G641" i="1"/>
  <c r="G642" i="1"/>
  <c r="F630" i="1"/>
  <c r="F629" i="1"/>
  <c r="F628" i="1"/>
  <c r="H628" i="1" s="1"/>
  <c r="F627" i="1"/>
  <c r="F625" i="1"/>
  <c r="H625" i="1" s="1"/>
  <c r="F624" i="1"/>
  <c r="F623" i="1"/>
  <c r="H622" i="1" s="1"/>
  <c r="F647" i="1"/>
  <c r="F646" i="1"/>
  <c r="F645" i="1"/>
  <c r="F644" i="1"/>
  <c r="F643" i="1"/>
  <c r="F663" i="1"/>
  <c r="H661" i="1" s="1"/>
  <c r="G610" i="1" l="1"/>
  <c r="H610" i="1"/>
  <c r="H499" i="1"/>
  <c r="G595" i="1"/>
  <c r="J595" i="1" s="1"/>
  <c r="H595" i="1"/>
  <c r="G428" i="1"/>
  <c r="H428" i="1"/>
  <c r="G291" i="1"/>
  <c r="K272" i="1" s="1"/>
  <c r="H290" i="1"/>
  <c r="G149" i="1"/>
  <c r="H149" i="1"/>
  <c r="G99" i="1"/>
  <c r="H98" i="1"/>
  <c r="G215" i="1"/>
  <c r="H215" i="1"/>
  <c r="G472" i="1"/>
  <c r="J469" i="1" s="1"/>
  <c r="H472" i="1"/>
  <c r="G74" i="1"/>
  <c r="H74" i="1"/>
  <c r="G484" i="1"/>
  <c r="J478" i="1" s="1"/>
  <c r="H484" i="1"/>
  <c r="G477" i="1"/>
  <c r="H475" i="1"/>
  <c r="G339" i="1"/>
  <c r="H338" i="1"/>
  <c r="G203" i="1"/>
  <c r="H203" i="1"/>
  <c r="G155" i="1"/>
  <c r="K137" i="1" s="1"/>
  <c r="H155" i="1"/>
  <c r="G19" i="1"/>
  <c r="H17" i="1"/>
  <c r="G605" i="1"/>
  <c r="J604" i="1" s="1"/>
  <c r="H604" i="1"/>
  <c r="G272" i="1"/>
  <c r="H272" i="1"/>
  <c r="H505" i="1"/>
  <c r="H643" i="1"/>
  <c r="H356" i="1"/>
  <c r="H86" i="1"/>
  <c r="G327" i="1"/>
  <c r="K326" i="1" s="1"/>
  <c r="H326" i="1"/>
  <c r="G344" i="1"/>
  <c r="H344" i="1"/>
  <c r="G347" i="1"/>
  <c r="J344" i="1" s="1"/>
  <c r="H347" i="1"/>
  <c r="G77" i="1"/>
  <c r="H77" i="1"/>
  <c r="G60" i="1"/>
  <c r="H59" i="1"/>
  <c r="G432" i="1"/>
  <c r="H430" i="1"/>
  <c r="G294" i="1"/>
  <c r="H293" i="1"/>
  <c r="G25" i="1"/>
  <c r="H23" i="1"/>
  <c r="G414" i="1"/>
  <c r="J407" i="1" s="1"/>
  <c r="H413" i="1"/>
  <c r="G194" i="1"/>
  <c r="H194" i="1"/>
  <c r="G108" i="1"/>
  <c r="H107" i="1"/>
  <c r="G599" i="1"/>
  <c r="H598" i="1"/>
  <c r="G422" i="1"/>
  <c r="J416" i="1" s="1"/>
  <c r="H422" i="1"/>
  <c r="G3" i="1"/>
  <c r="H2" i="1"/>
  <c r="G192" i="1"/>
  <c r="H191" i="1"/>
  <c r="G56" i="1"/>
  <c r="H56" i="1"/>
  <c r="G465" i="1"/>
  <c r="K460" i="1" s="1"/>
  <c r="H463" i="1"/>
  <c r="G329" i="1"/>
  <c r="H329" i="1"/>
  <c r="G80" i="1"/>
  <c r="H80" i="1"/>
  <c r="G213" i="1"/>
  <c r="H212" i="1"/>
  <c r="G297" i="1"/>
  <c r="H296" i="1"/>
  <c r="G146" i="1"/>
  <c r="H146" i="1"/>
  <c r="H646" i="1"/>
  <c r="G96" i="1"/>
  <c r="H95" i="1"/>
  <c r="G602" i="1"/>
  <c r="H601" i="1"/>
  <c r="G607" i="1"/>
  <c r="H607" i="1"/>
  <c r="G466" i="1"/>
  <c r="H466" i="1"/>
  <c r="G333" i="1"/>
  <c r="H332" i="1"/>
  <c r="G350" i="1"/>
  <c r="H350" i="1"/>
  <c r="J335" i="1"/>
  <c r="J613" i="1"/>
  <c r="K191" i="1"/>
  <c r="J460" i="1"/>
  <c r="F659" i="1"/>
  <c r="G659" i="1" s="1"/>
  <c r="F658" i="1"/>
  <c r="F657" i="1"/>
  <c r="G657" i="1" s="1"/>
  <c r="F656" i="1"/>
  <c r="F652" i="1"/>
  <c r="F539" i="1"/>
  <c r="F537" i="1"/>
  <c r="F536" i="1"/>
  <c r="G536" i="1" s="1"/>
  <c r="F535" i="1"/>
  <c r="F527" i="1"/>
  <c r="G527" i="1" s="1"/>
  <c r="F526" i="1"/>
  <c r="F523" i="1"/>
  <c r="F522" i="1"/>
  <c r="G514" i="1"/>
  <c r="G515" i="1"/>
  <c r="G516" i="1"/>
  <c r="G517" i="1"/>
  <c r="G518" i="1"/>
  <c r="G519" i="1"/>
  <c r="G520" i="1"/>
  <c r="G521" i="1"/>
  <c r="G524" i="1"/>
  <c r="G525" i="1"/>
  <c r="G528" i="1"/>
  <c r="G529" i="1"/>
  <c r="G530" i="1"/>
  <c r="G531" i="1"/>
  <c r="G532" i="1"/>
  <c r="G533" i="1"/>
  <c r="G534" i="1"/>
  <c r="G537" i="1"/>
  <c r="G538" i="1"/>
  <c r="G540" i="1"/>
  <c r="G653" i="1"/>
  <c r="G654" i="1"/>
  <c r="G655" i="1"/>
  <c r="G660" i="1"/>
  <c r="G670" i="1"/>
  <c r="G671" i="1"/>
  <c r="G672" i="1"/>
  <c r="G673" i="1"/>
  <c r="G674" i="1"/>
  <c r="G675" i="1"/>
  <c r="G676" i="1"/>
  <c r="G677" i="1"/>
  <c r="G678" i="1"/>
  <c r="G661" i="1"/>
  <c r="G662" i="1"/>
  <c r="G663" i="1"/>
  <c r="G664" i="1"/>
  <c r="G665" i="1"/>
  <c r="G666" i="1"/>
  <c r="G667" i="1"/>
  <c r="G668" i="1"/>
  <c r="G669" i="1"/>
  <c r="G643" i="1"/>
  <c r="G644" i="1"/>
  <c r="G645" i="1"/>
  <c r="G646" i="1"/>
  <c r="G647" i="1"/>
  <c r="G648" i="1"/>
  <c r="G649" i="1"/>
  <c r="G650" i="1"/>
  <c r="G65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505" i="1"/>
  <c r="G506" i="1"/>
  <c r="G507" i="1"/>
  <c r="G508" i="1"/>
  <c r="G509" i="1"/>
  <c r="G510" i="1"/>
  <c r="G511" i="1"/>
  <c r="G512" i="1"/>
  <c r="G513" i="1"/>
  <c r="G496" i="1"/>
  <c r="G497" i="1"/>
  <c r="G498" i="1"/>
  <c r="G499" i="1"/>
  <c r="G500" i="1"/>
  <c r="G501" i="1"/>
  <c r="G502" i="1"/>
  <c r="G503" i="1"/>
  <c r="G504" i="1"/>
  <c r="G487" i="1"/>
  <c r="G488" i="1"/>
  <c r="G489" i="1"/>
  <c r="G490" i="1"/>
  <c r="G491" i="1"/>
  <c r="G492" i="1"/>
  <c r="G493" i="1"/>
  <c r="G494" i="1"/>
  <c r="G495" i="1"/>
  <c r="G371" i="1"/>
  <c r="G372" i="1"/>
  <c r="G373" i="1"/>
  <c r="G374" i="1"/>
  <c r="G375" i="1"/>
  <c r="G376" i="1"/>
  <c r="G377" i="1"/>
  <c r="G378" i="1"/>
  <c r="G379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18" i="1"/>
  <c r="G219" i="1"/>
  <c r="G220" i="1"/>
  <c r="G221" i="1"/>
  <c r="G222" i="1"/>
  <c r="G223" i="1"/>
  <c r="G224" i="1"/>
  <c r="G225" i="1"/>
  <c r="G226" i="1"/>
  <c r="G83" i="1"/>
  <c r="G84" i="1"/>
  <c r="G85" i="1"/>
  <c r="G86" i="1"/>
  <c r="G87" i="1"/>
  <c r="G88" i="1"/>
  <c r="G89" i="1"/>
  <c r="G90" i="1"/>
  <c r="G91" i="1"/>
  <c r="G101" i="1"/>
  <c r="G102" i="1"/>
  <c r="G103" i="1"/>
  <c r="G104" i="1"/>
  <c r="G135" i="1"/>
  <c r="G119" i="1"/>
  <c r="G120" i="1"/>
  <c r="G121" i="1"/>
  <c r="G123" i="1"/>
  <c r="G124" i="1"/>
  <c r="G125" i="1"/>
  <c r="G395" i="1"/>
  <c r="G396" i="1"/>
  <c r="G397" i="1"/>
  <c r="G399" i="1"/>
  <c r="G400" i="1"/>
  <c r="G402" i="1"/>
  <c r="G403" i="1"/>
  <c r="G405" i="1"/>
  <c r="G406" i="1"/>
  <c r="G380" i="1"/>
  <c r="G381" i="1"/>
  <c r="G382" i="1"/>
  <c r="G384" i="1"/>
  <c r="G385" i="1"/>
  <c r="G386" i="1"/>
  <c r="F388" i="1"/>
  <c r="G388" i="1" s="1"/>
  <c r="F387" i="1"/>
  <c r="F383" i="1"/>
  <c r="F127" i="1"/>
  <c r="G127" i="1" s="1"/>
  <c r="F404" i="1"/>
  <c r="F401" i="1"/>
  <c r="F398" i="1"/>
  <c r="F394" i="1"/>
  <c r="G394" i="1" s="1"/>
  <c r="F393" i="1"/>
  <c r="G393" i="1" s="1"/>
  <c r="F392" i="1"/>
  <c r="F391" i="1"/>
  <c r="G391" i="1" s="1"/>
  <c r="F390" i="1"/>
  <c r="G390" i="1" s="1"/>
  <c r="F389" i="1"/>
  <c r="F126" i="1"/>
  <c r="F136" i="1"/>
  <c r="G136" i="1" s="1"/>
  <c r="F122" i="1"/>
  <c r="F134" i="1"/>
  <c r="F128" i="1"/>
  <c r="F114" i="1"/>
  <c r="G114" i="1" s="1"/>
  <c r="F113" i="1"/>
  <c r="F110" i="1"/>
  <c r="F269" i="1"/>
  <c r="F268" i="1"/>
  <c r="G268" i="1" s="1"/>
  <c r="F267" i="1"/>
  <c r="G267" i="1" s="1"/>
  <c r="F266" i="1"/>
  <c r="F253" i="1"/>
  <c r="G253" i="1" s="1"/>
  <c r="F252" i="1"/>
  <c r="F573" i="1"/>
  <c r="F586" i="1"/>
  <c r="F441" i="1"/>
  <c r="G441" i="1" s="1"/>
  <c r="F439" i="1"/>
  <c r="F450" i="1"/>
  <c r="F444" i="1"/>
  <c r="F325" i="1"/>
  <c r="G325" i="1" s="1"/>
  <c r="F323" i="1"/>
  <c r="G317" i="1"/>
  <c r="G318" i="1"/>
  <c r="G319" i="1"/>
  <c r="G320" i="1"/>
  <c r="G321" i="1"/>
  <c r="G322" i="1"/>
  <c r="G324" i="1"/>
  <c r="G442" i="1"/>
  <c r="G443" i="1"/>
  <c r="G445" i="1"/>
  <c r="G446" i="1"/>
  <c r="G447" i="1"/>
  <c r="G448" i="1"/>
  <c r="G449" i="1"/>
  <c r="G451" i="1"/>
  <c r="G452" i="1"/>
  <c r="G453" i="1"/>
  <c r="G454" i="1"/>
  <c r="G455" i="1"/>
  <c r="G456" i="1"/>
  <c r="G457" i="1"/>
  <c r="G458" i="1"/>
  <c r="G459" i="1"/>
  <c r="G433" i="1"/>
  <c r="G434" i="1"/>
  <c r="G435" i="1"/>
  <c r="G436" i="1"/>
  <c r="G437" i="1"/>
  <c r="G438" i="1"/>
  <c r="G440" i="1"/>
  <c r="G587" i="1"/>
  <c r="G588" i="1"/>
  <c r="G589" i="1"/>
  <c r="G590" i="1"/>
  <c r="G591" i="1"/>
  <c r="G592" i="1"/>
  <c r="G593" i="1"/>
  <c r="G594" i="1"/>
  <c r="G577" i="1"/>
  <c r="G578" i="1"/>
  <c r="G579" i="1"/>
  <c r="G580" i="1"/>
  <c r="G581" i="1"/>
  <c r="G582" i="1"/>
  <c r="G583" i="1"/>
  <c r="G584" i="1"/>
  <c r="G585" i="1"/>
  <c r="G568" i="1"/>
  <c r="G569" i="1"/>
  <c r="G570" i="1"/>
  <c r="G571" i="1"/>
  <c r="G572" i="1"/>
  <c r="G574" i="1"/>
  <c r="G575" i="1"/>
  <c r="G576" i="1"/>
  <c r="G245" i="1"/>
  <c r="G246" i="1"/>
  <c r="G247" i="1"/>
  <c r="G248" i="1"/>
  <c r="G249" i="1"/>
  <c r="G250" i="1"/>
  <c r="G251" i="1"/>
  <c r="G263" i="1"/>
  <c r="G264" i="1"/>
  <c r="G265" i="1"/>
  <c r="G270" i="1"/>
  <c r="G271" i="1"/>
  <c r="G254" i="1"/>
  <c r="G255" i="1"/>
  <c r="G256" i="1"/>
  <c r="G257" i="1"/>
  <c r="G258" i="1"/>
  <c r="G259" i="1"/>
  <c r="G260" i="1"/>
  <c r="G261" i="1"/>
  <c r="G262" i="1"/>
  <c r="G111" i="1"/>
  <c r="G112" i="1"/>
  <c r="G115" i="1"/>
  <c r="G116" i="1"/>
  <c r="G117" i="1"/>
  <c r="G118" i="1"/>
  <c r="G129" i="1"/>
  <c r="G130" i="1"/>
  <c r="G131" i="1"/>
  <c r="G132" i="1"/>
  <c r="G133" i="1"/>
  <c r="G539" i="1" l="1"/>
  <c r="H538" i="1"/>
  <c r="G439" i="1"/>
  <c r="H439" i="1"/>
  <c r="G398" i="1"/>
  <c r="H398" i="1"/>
  <c r="G522" i="1"/>
  <c r="K514" i="1" s="1"/>
  <c r="H520" i="1"/>
  <c r="G652" i="1"/>
  <c r="H652" i="1"/>
  <c r="J326" i="1"/>
  <c r="G134" i="1"/>
  <c r="H134" i="1"/>
  <c r="G450" i="1"/>
  <c r="H448" i="1"/>
  <c r="G122" i="1"/>
  <c r="J119" i="1" s="1"/>
  <c r="H122" i="1"/>
  <c r="G269" i="1"/>
  <c r="H269" i="1"/>
  <c r="G126" i="1"/>
  <c r="H125" i="1"/>
  <c r="G401" i="1"/>
  <c r="H401" i="1"/>
  <c r="G523" i="1"/>
  <c r="H523" i="1"/>
  <c r="G656" i="1"/>
  <c r="H655" i="1"/>
  <c r="G586" i="1"/>
  <c r="H586" i="1"/>
  <c r="G404" i="1"/>
  <c r="H404" i="1"/>
  <c r="G526" i="1"/>
  <c r="H526" i="1"/>
  <c r="G573" i="1"/>
  <c r="H571" i="1"/>
  <c r="G113" i="1"/>
  <c r="H113" i="1"/>
  <c r="G658" i="1"/>
  <c r="K652" i="1" s="1"/>
  <c r="H658" i="1"/>
  <c r="G444" i="1"/>
  <c r="K434" i="1" s="1"/>
  <c r="H442" i="1"/>
  <c r="G389" i="1"/>
  <c r="H389" i="1"/>
  <c r="K407" i="1"/>
  <c r="G323" i="1"/>
  <c r="J317" i="1" s="1"/>
  <c r="H323" i="1"/>
  <c r="G252" i="1"/>
  <c r="K245" i="1" s="1"/>
  <c r="H251" i="1"/>
  <c r="G383" i="1"/>
  <c r="H383" i="1"/>
  <c r="G535" i="1"/>
  <c r="J532" i="1" s="1"/>
  <c r="H535" i="1"/>
  <c r="G266" i="1"/>
  <c r="H266" i="1"/>
  <c r="G110" i="1"/>
  <c r="K110" i="1" s="1"/>
  <c r="H110" i="1"/>
  <c r="G128" i="1"/>
  <c r="H128" i="1"/>
  <c r="G392" i="1"/>
  <c r="H392" i="1"/>
  <c r="G387" i="1"/>
  <c r="K380" i="1" s="1"/>
  <c r="H386" i="1"/>
  <c r="K595" i="1"/>
  <c r="J523" i="1"/>
  <c r="K568" i="1"/>
  <c r="J568" i="1"/>
  <c r="J631" i="1"/>
  <c r="J362" i="1"/>
  <c r="K83" i="1"/>
  <c r="J496" i="1"/>
  <c r="J586" i="1"/>
  <c r="J389" i="1"/>
  <c r="K218" i="1"/>
  <c r="J505" i="1"/>
  <c r="J652" i="1"/>
  <c r="J434" i="1"/>
  <c r="K622" i="1"/>
  <c r="J622" i="1"/>
  <c r="J425" i="1"/>
  <c r="J451" i="1"/>
  <c r="J353" i="1"/>
  <c r="K353" i="1"/>
  <c r="J661" i="1"/>
  <c r="J371" i="1"/>
  <c r="J670" i="1"/>
  <c r="J577" i="1"/>
  <c r="J380" i="1"/>
  <c r="J643" i="1"/>
  <c r="J398" i="1"/>
  <c r="J487" i="1"/>
  <c r="K487" i="1"/>
  <c r="J290" i="1"/>
  <c r="J272" i="1"/>
  <c r="J281" i="1"/>
  <c r="J263" i="1"/>
  <c r="J254" i="1"/>
  <c r="J209" i="1"/>
  <c r="J236" i="1"/>
  <c r="J227" i="1"/>
  <c r="J218" i="1"/>
  <c r="J200" i="1"/>
  <c r="J155" i="1"/>
  <c r="J146" i="1"/>
  <c r="J137" i="1"/>
  <c r="J128" i="1"/>
  <c r="G316" i="1"/>
  <c r="F315" i="1"/>
  <c r="F310" i="1"/>
  <c r="F190" i="1"/>
  <c r="F45" i="1"/>
  <c r="F44" i="1"/>
  <c r="H44" i="1" s="1"/>
  <c r="F43" i="1"/>
  <c r="G314" i="1"/>
  <c r="G313" i="1"/>
  <c r="G312" i="1"/>
  <c r="G311" i="1"/>
  <c r="G309" i="1"/>
  <c r="G308" i="1"/>
  <c r="G173" i="1"/>
  <c r="G174" i="1"/>
  <c r="G175" i="1"/>
  <c r="G176" i="1"/>
  <c r="G177" i="1"/>
  <c r="G178" i="1"/>
  <c r="G179" i="1"/>
  <c r="G180" i="1"/>
  <c r="G181" i="1"/>
  <c r="G164" i="1"/>
  <c r="G165" i="1"/>
  <c r="G166" i="1"/>
  <c r="G167" i="1"/>
  <c r="G168" i="1"/>
  <c r="G169" i="1"/>
  <c r="G170" i="1"/>
  <c r="G171" i="1"/>
  <c r="G172" i="1"/>
  <c r="G182" i="1"/>
  <c r="G183" i="1"/>
  <c r="G184" i="1"/>
  <c r="G185" i="1"/>
  <c r="G186" i="1"/>
  <c r="G187" i="1"/>
  <c r="G188" i="1"/>
  <c r="G189" i="1"/>
  <c r="G299" i="1"/>
  <c r="G300" i="1"/>
  <c r="G301" i="1"/>
  <c r="G302" i="1"/>
  <c r="G303" i="1"/>
  <c r="G304" i="1"/>
  <c r="G305" i="1"/>
  <c r="G306" i="1"/>
  <c r="G307" i="1"/>
  <c r="J245" i="1" l="1"/>
  <c r="G315" i="1"/>
  <c r="H314" i="1"/>
  <c r="J442" i="1"/>
  <c r="J514" i="1"/>
  <c r="G310" i="1"/>
  <c r="J308" i="1" s="1"/>
  <c r="H308" i="1"/>
  <c r="G190" i="1"/>
  <c r="K164" i="1" s="1"/>
  <c r="H188" i="1"/>
  <c r="J299" i="1"/>
  <c r="J164" i="1"/>
  <c r="J191" i="1"/>
  <c r="J182" i="1"/>
  <c r="J101" i="1"/>
  <c r="J110" i="1"/>
  <c r="J173" i="1"/>
  <c r="J65" i="1"/>
  <c r="J56" i="1"/>
  <c r="F42" i="1"/>
  <c r="H41" i="1" s="1"/>
  <c r="F55" i="1"/>
  <c r="H53" i="1" s="1"/>
  <c r="K299" i="1" l="1"/>
  <c r="F549" i="1"/>
  <c r="H547" i="1" s="1"/>
  <c r="E57" i="3" l="1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29" i="1"/>
  <c r="G30" i="1"/>
  <c r="G31" i="1"/>
  <c r="G32" i="1"/>
  <c r="G33" i="1"/>
  <c r="G34" i="1"/>
  <c r="G35" i="1"/>
  <c r="G36" i="1"/>
  <c r="G37" i="1"/>
  <c r="G47" i="1"/>
  <c r="G48" i="1"/>
  <c r="G49" i="1"/>
  <c r="G50" i="1"/>
  <c r="G51" i="1"/>
  <c r="G52" i="1"/>
  <c r="G53" i="1"/>
  <c r="G54" i="1"/>
  <c r="G55" i="1"/>
  <c r="G38" i="1"/>
  <c r="G39" i="1"/>
  <c r="G40" i="1"/>
  <c r="G41" i="1"/>
  <c r="G42" i="1"/>
  <c r="G43" i="1"/>
  <c r="G44" i="1"/>
  <c r="G45" i="1"/>
  <c r="G46" i="1"/>
  <c r="G541" i="1"/>
  <c r="J550" i="1" l="1"/>
  <c r="K541" i="1"/>
  <c r="J541" i="1"/>
  <c r="J559" i="1"/>
  <c r="J38" i="1"/>
  <c r="J47" i="1"/>
  <c r="K29" i="1"/>
  <c r="J29" i="1"/>
  <c r="K56" i="1"/>
  <c r="K2" i="1"/>
  <c r="J11" i="1"/>
  <c r="J20" i="1"/>
  <c r="J2" i="1"/>
  <c r="J83" i="1"/>
  <c r="J92" i="1"/>
  <c r="J74" i="1"/>
</calcChain>
</file>

<file path=xl/sharedStrings.xml><?xml version="1.0" encoding="utf-8"?>
<sst xmlns="http://schemas.openxmlformats.org/spreadsheetml/2006/main" count="932" uniqueCount="94">
  <si>
    <t>Plant#</t>
  </si>
  <si>
    <t>Leaf#</t>
  </si>
  <si>
    <t>Pixels</t>
  </si>
  <si>
    <t>% Diseased</t>
  </si>
  <si>
    <t>Leaf</t>
  </si>
  <si>
    <t>Lesion</t>
  </si>
  <si>
    <t>501-1</t>
  </si>
  <si>
    <t>501-2</t>
  </si>
  <si>
    <t>501-3</t>
  </si>
  <si>
    <t>102-1</t>
  </si>
  <si>
    <t>102-2</t>
  </si>
  <si>
    <t>102-3</t>
  </si>
  <si>
    <t>202-2</t>
  </si>
  <si>
    <t>202-1</t>
  </si>
  <si>
    <t>202-3</t>
  </si>
  <si>
    <t>302-1</t>
  </si>
  <si>
    <t>302-2</t>
  </si>
  <si>
    <t>% Infection per Rep</t>
  </si>
  <si>
    <t>302-3</t>
  </si>
  <si>
    <t>402-2</t>
  </si>
  <si>
    <t>402-3</t>
  </si>
  <si>
    <t>402-1</t>
  </si>
  <si>
    <t>502-3</t>
  </si>
  <si>
    <t>502-2</t>
  </si>
  <si>
    <t>502-1</t>
  </si>
  <si>
    <t>205-1</t>
  </si>
  <si>
    <t>205-3</t>
  </si>
  <si>
    <t>205-2</t>
  </si>
  <si>
    <t>105-1</t>
  </si>
  <si>
    <t>105-3</t>
  </si>
  <si>
    <t>105-2</t>
  </si>
  <si>
    <t>305-2</t>
  </si>
  <si>
    <t>305-3</t>
  </si>
  <si>
    <t>305-1</t>
  </si>
  <si>
    <t>405-1</t>
  </si>
  <si>
    <t>405-2</t>
  </si>
  <si>
    <t>405-3</t>
  </si>
  <si>
    <t>505-1</t>
  </si>
  <si>
    <t>505-3</t>
  </si>
  <si>
    <t>505-2</t>
  </si>
  <si>
    <t>504-3</t>
  </si>
  <si>
    <t>504-1</t>
  </si>
  <si>
    <t>504-2</t>
  </si>
  <si>
    <t>404-3</t>
  </si>
  <si>
    <t>404-2</t>
  </si>
  <si>
    <t>404-1</t>
  </si>
  <si>
    <t>304-3</t>
  </si>
  <si>
    <t>304-1</t>
  </si>
  <si>
    <t>304-2</t>
  </si>
  <si>
    <t>204-2</t>
  </si>
  <si>
    <t>204-3</t>
  </si>
  <si>
    <t>204-1</t>
  </si>
  <si>
    <t>104-1</t>
  </si>
  <si>
    <t>104-3</t>
  </si>
  <si>
    <t>104-2</t>
  </si>
  <si>
    <t>503-1</t>
  </si>
  <si>
    <t>503-2</t>
  </si>
  <si>
    <t>503-3</t>
  </si>
  <si>
    <t>403-3</t>
  </si>
  <si>
    <t>403-1</t>
  </si>
  <si>
    <t>403-2</t>
  </si>
  <si>
    <t>303-1</t>
  </si>
  <si>
    <t>303-2</t>
  </si>
  <si>
    <t>303-3</t>
  </si>
  <si>
    <t>103-3</t>
  </si>
  <si>
    <t>103-1</t>
  </si>
  <si>
    <t>103-2</t>
  </si>
  <si>
    <t>203-1</t>
  </si>
  <si>
    <t>203-2</t>
  </si>
  <si>
    <t>203-3</t>
  </si>
  <si>
    <t>401-3</t>
  </si>
  <si>
    <t>401-2</t>
  </si>
  <si>
    <t>401-1</t>
  </si>
  <si>
    <t>301-2</t>
  </si>
  <si>
    <t>301-1</t>
  </si>
  <si>
    <t>301-3</t>
  </si>
  <si>
    <t>201-2</t>
  </si>
  <si>
    <t>201-3</t>
  </si>
  <si>
    <t>201-1</t>
  </si>
  <si>
    <t>101-2</t>
  </si>
  <si>
    <t>101-3</t>
  </si>
  <si>
    <t>101-1</t>
  </si>
  <si>
    <t>% Disease</t>
  </si>
  <si>
    <t>% Infection per Plant</t>
  </si>
  <si>
    <t>Rep</t>
  </si>
  <si>
    <t>Originally Inoculated?</t>
  </si>
  <si>
    <t>N</t>
  </si>
  <si>
    <t>Y</t>
  </si>
  <si>
    <t>Plant_num</t>
  </si>
  <si>
    <t>Leaf_num</t>
  </si>
  <si>
    <t>Wind_speed_mph</t>
  </si>
  <si>
    <t>Leaf_area_px</t>
  </si>
  <si>
    <t>Lesion_area_px</t>
  </si>
  <si>
    <t>severity_per_leaf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</si>
</sst>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0" fontId="0" fillId="0" borderId="0" xfId="2" applyNumberFormat="1" applyFont="1"/>
    <xf numFmtId="164" fontId="0" fillId="0" borderId="0" xfId="1" applyNumberFormat="1" applyFont="1"/>
    <xf numFmtId="164" fontId="2" fillId="0" borderId="1" xfId="1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0" fontId="0" fillId="0" borderId="0" xfId="0" applyBorder="1"/>
    <xf numFmtId="164" fontId="0" fillId="0" borderId="0" xfId="1" applyNumberFormat="1" applyFont="1" applyBorder="1"/>
    <xf numFmtId="0" fontId="0" fillId="0" borderId="0" xfId="0" applyFill="1" applyBorder="1"/>
    <xf numFmtId="0" fontId="2" fillId="0" borderId="0" xfId="0" applyFont="1" applyBorder="1" applyAlignment="1">
      <alignment horizontal="center" vertical="center" wrapText="1"/>
    </xf>
    <xf numFmtId="10" fontId="2" fillId="0" borderId="0" xfId="2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2" fillId="0" borderId="0" xfId="1" applyNumberFormat="1" applyFont="1" applyBorder="1" applyAlignment="1">
      <alignment horizontal="center" vertical="center" wrapText="1"/>
    </xf>
    <xf numFmtId="3" fontId="0" fillId="0" borderId="0" xfId="1" applyNumberFormat="1" applyFont="1"/>
    <xf numFmtId="3" fontId="0" fillId="0" borderId="0" xfId="1" applyNumberFormat="1" applyFont="1" applyBorder="1"/>
    <xf numFmtId="0" fontId="2" fillId="0" borderId="0" xfId="0" applyFont="1" applyBorder="1" applyAlignment="1">
      <alignment horizontal="center" vertical="center"/>
    </xf>
    <xf numFmtId="10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10" fontId="2" fillId="0" borderId="0" xfId="2" applyNumberFormat="1" applyFont="1" applyBorder="1" applyAlignment="1">
      <alignment horizontal="center" vertical="center" wrapText="1"/>
    </xf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10" fontId="2" fillId="0" borderId="0" xfId="2" applyNumberFormat="1" applyFont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wrapText="1"/>
    </xf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Disease per Leaf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522933395701779E-2"/>
          <c:y val="9.4821084248829804E-2"/>
          <c:w val="0.89422624152178998"/>
          <c:h val="0.844803277463283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'Source Leaves - Trial 1'!$G$1</c:f>
              <c:strCache>
                <c:ptCount val="1"/>
                <c:pt idx="0">
                  <c:v>% Disease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'Source Leaves - Trial 1'!$G$2:$G$697</c:f>
              <c:numCache>
                <c:formatCode>0.00%</c:formatCode>
                <c:ptCount val="696"/>
                <c:pt idx="0">
                  <c:v>4.9112384855830096E-2</c:v>
                </c:pt>
                <c:pt idx="1">
                  <c:v>2.1954408930237628E-2</c:v>
                </c:pt>
                <c:pt idx="2">
                  <c:v>7.6757730370972194E-2</c:v>
                </c:pt>
                <c:pt idx="3">
                  <c:v>5.8466341563690176E-2</c:v>
                </c:pt>
                <c:pt idx="4">
                  <c:v>3.815460504618709E-2</c:v>
                </c:pt>
                <c:pt idx="5">
                  <c:v>4.3072199950464948E-2</c:v>
                </c:pt>
                <c:pt idx="6">
                  <c:v>2.3730413070404813E-2</c:v>
                </c:pt>
                <c:pt idx="7">
                  <c:v>2.0647730334667581E-2</c:v>
                </c:pt>
                <c:pt idx="8">
                  <c:v>2.2180527305325635E-2</c:v>
                </c:pt>
                <c:pt idx="9">
                  <c:v>2.9241841099967091E-2</c:v>
                </c:pt>
                <c:pt idx="10">
                  <c:v>1.8967110248728304E-2</c:v>
                </c:pt>
                <c:pt idx="11">
                  <c:v>2.288810563819466E-3</c:v>
                </c:pt>
                <c:pt idx="12">
                  <c:v>1.866133953376671E-2</c:v>
                </c:pt>
                <c:pt idx="13">
                  <c:v>1.2712782525087009E-2</c:v>
                </c:pt>
                <c:pt idx="14">
                  <c:v>4.1355293682892279E-3</c:v>
                </c:pt>
                <c:pt idx="15">
                  <c:v>1.1353751026125879E-4</c:v>
                </c:pt>
                <c:pt idx="16">
                  <c:v>1.8512344949704368E-4</c:v>
                </c:pt>
                <c:pt idx="17">
                  <c:v>2.8860666336810682E-3</c:v>
                </c:pt>
                <c:pt idx="18">
                  <c:v>2.6026841488388866E-2</c:v>
                </c:pt>
                <c:pt idx="19">
                  <c:v>5.6491667243219216E-3</c:v>
                </c:pt>
                <c:pt idx="20">
                  <c:v>3.6851084931703824E-3</c:v>
                </c:pt>
                <c:pt idx="21">
                  <c:v>6.6655609389605353E-2</c:v>
                </c:pt>
                <c:pt idx="22">
                  <c:v>2.8051936340462262E-2</c:v>
                </c:pt>
                <c:pt idx="23">
                  <c:v>1.1141900065922555E-2</c:v>
                </c:pt>
                <c:pt idx="24">
                  <c:v>5.450121710454451E-2</c:v>
                </c:pt>
                <c:pt idx="25">
                  <c:v>5.0235503184849373E-2</c:v>
                </c:pt>
                <c:pt idx="26">
                  <c:v>3.8484162501780557E-2</c:v>
                </c:pt>
                <c:pt idx="27">
                  <c:v>3.1478989217290326E-3</c:v>
                </c:pt>
                <c:pt idx="28">
                  <c:v>3.541091127080617E-3</c:v>
                </c:pt>
                <c:pt idx="29">
                  <c:v>1.1223930463835452E-3</c:v>
                </c:pt>
                <c:pt idx="30">
                  <c:v>1.7031820602737842E-2</c:v>
                </c:pt>
                <c:pt idx="31">
                  <c:v>5.3082350538348148E-3</c:v>
                </c:pt>
                <c:pt idx="32">
                  <c:v>4.8586731857550844E-4</c:v>
                </c:pt>
                <c:pt idx="33">
                  <c:v>8.3996570718517774E-4</c:v>
                </c:pt>
                <c:pt idx="34">
                  <c:v>2.6681893246955036E-3</c:v>
                </c:pt>
                <c:pt idx="35">
                  <c:v>9.3093359340367049E-4</c:v>
                </c:pt>
                <c:pt idx="36">
                  <c:v>2.8557259804814172E-2</c:v>
                </c:pt>
                <c:pt idx="37">
                  <c:v>2.6180694436738132E-3</c:v>
                </c:pt>
                <c:pt idx="38">
                  <c:v>1.9967194760649842E-2</c:v>
                </c:pt>
                <c:pt idx="39">
                  <c:v>6.1306295957208781E-2</c:v>
                </c:pt>
                <c:pt idx="40">
                  <c:v>5.9791302473718243E-2</c:v>
                </c:pt>
                <c:pt idx="41">
                  <c:v>5.8753603961566502E-2</c:v>
                </c:pt>
                <c:pt idx="42">
                  <c:v>6.5304394842669519E-2</c:v>
                </c:pt>
                <c:pt idx="43">
                  <c:v>6.1889348289053028E-2</c:v>
                </c:pt>
                <c:pt idx="44">
                  <c:v>3.7034255613607833E-2</c:v>
                </c:pt>
                <c:pt idx="45">
                  <c:v>6.6855634943359263E-2</c:v>
                </c:pt>
                <c:pt idx="46">
                  <c:v>0.11479055509961408</c:v>
                </c:pt>
                <c:pt idx="47">
                  <c:v>3.5458588962831564E-2</c:v>
                </c:pt>
                <c:pt idx="48">
                  <c:v>1.7778794769974791E-3</c:v>
                </c:pt>
                <c:pt idx="49">
                  <c:v>2.0315955031133997E-3</c:v>
                </c:pt>
                <c:pt idx="50">
                  <c:v>1.5896654679635152E-3</c:v>
                </c:pt>
                <c:pt idx="51">
                  <c:v>4.3144062052016048E-2</c:v>
                </c:pt>
                <c:pt idx="52">
                  <c:v>2.7956143058565999E-2</c:v>
                </c:pt>
                <c:pt idx="53">
                  <c:v>7.5627028749662928E-2</c:v>
                </c:pt>
                <c:pt idx="54">
                  <c:v>0.1381844612350546</c:v>
                </c:pt>
                <c:pt idx="55">
                  <c:v>8.0283672979402976E-2</c:v>
                </c:pt>
                <c:pt idx="56">
                  <c:v>8.0761489143531859E-2</c:v>
                </c:pt>
                <c:pt idx="57">
                  <c:v>6.2025160176382901E-3</c:v>
                </c:pt>
                <c:pt idx="58">
                  <c:v>4.6739144533462465E-2</c:v>
                </c:pt>
                <c:pt idx="59">
                  <c:v>4.7635322071412294E-2</c:v>
                </c:pt>
                <c:pt idx="60">
                  <c:v>4.7673548443896638E-2</c:v>
                </c:pt>
                <c:pt idx="61">
                  <c:v>1.6155417967584042E-2</c:v>
                </c:pt>
                <c:pt idx="62">
                  <c:v>3.0887383154458676E-2</c:v>
                </c:pt>
                <c:pt idx="63">
                  <c:v>6.8714786367172149E-3</c:v>
                </c:pt>
                <c:pt idx="64">
                  <c:v>5.551895097266178E-3</c:v>
                </c:pt>
                <c:pt idx="65">
                  <c:v>9.6751185686857998E-3</c:v>
                </c:pt>
                <c:pt idx="66">
                  <c:v>2.3824185353545839E-3</c:v>
                </c:pt>
                <c:pt idx="67">
                  <c:v>1.6923454633709348E-3</c:v>
                </c:pt>
                <c:pt idx="68">
                  <c:v>9.9734461496917047E-4</c:v>
                </c:pt>
                <c:pt idx="69">
                  <c:v>9.8898303598056242E-4</c:v>
                </c:pt>
                <c:pt idx="70">
                  <c:v>4.8031902870612547E-4</c:v>
                </c:pt>
                <c:pt idx="71">
                  <c:v>1.633576991937599E-3</c:v>
                </c:pt>
                <c:pt idx="72">
                  <c:v>6.3725923882779686E-3</c:v>
                </c:pt>
                <c:pt idx="73">
                  <c:v>3.7271291209640808E-3</c:v>
                </c:pt>
                <c:pt idx="74">
                  <c:v>4.7416767124213817E-3</c:v>
                </c:pt>
                <c:pt idx="75">
                  <c:v>1.6507158423440107E-2</c:v>
                </c:pt>
                <c:pt idx="76">
                  <c:v>8.7511657013521361E-3</c:v>
                </c:pt>
                <c:pt idx="77">
                  <c:v>2.3101584489954381E-2</c:v>
                </c:pt>
                <c:pt idx="78">
                  <c:v>6.484044457792966E-2</c:v>
                </c:pt>
                <c:pt idx="79">
                  <c:v>7.3758845705408943E-2</c:v>
                </c:pt>
                <c:pt idx="80">
                  <c:v>6.2246657800677271E-2</c:v>
                </c:pt>
                <c:pt idx="81">
                  <c:v>0</c:v>
                </c:pt>
                <c:pt idx="82">
                  <c:v>2.5446526906918989E-4</c:v>
                </c:pt>
                <c:pt idx="83">
                  <c:v>2.1113056727682907E-4</c:v>
                </c:pt>
                <c:pt idx="84">
                  <c:v>4.5078508013973465E-2</c:v>
                </c:pt>
                <c:pt idx="85">
                  <c:v>6.4793876708824361E-2</c:v>
                </c:pt>
                <c:pt idx="86">
                  <c:v>6.5340881773842036E-2</c:v>
                </c:pt>
                <c:pt idx="87">
                  <c:v>2.700909543176357E-2</c:v>
                </c:pt>
                <c:pt idx="88">
                  <c:v>4.9705760179013646E-2</c:v>
                </c:pt>
                <c:pt idx="89">
                  <c:v>2.0009707119113693E-2</c:v>
                </c:pt>
                <c:pt idx="90">
                  <c:v>4.1334584055985587E-3</c:v>
                </c:pt>
                <c:pt idx="91">
                  <c:v>1.0349953189098279E-3</c:v>
                </c:pt>
                <c:pt idx="92">
                  <c:v>9.8263404189971305E-5</c:v>
                </c:pt>
                <c:pt idx="93">
                  <c:v>1.0749923073541693E-2</c:v>
                </c:pt>
                <c:pt idx="94">
                  <c:v>1.0014023103409974E-2</c:v>
                </c:pt>
                <c:pt idx="95">
                  <c:v>2.6355902003120425E-2</c:v>
                </c:pt>
                <c:pt idx="96">
                  <c:v>3.4053890735298159E-2</c:v>
                </c:pt>
                <c:pt idx="97">
                  <c:v>3.6771840248748008E-2</c:v>
                </c:pt>
                <c:pt idx="98">
                  <c:v>5.159606491608628E-2</c:v>
                </c:pt>
                <c:pt idx="99">
                  <c:v>6.536170723547842E-2</c:v>
                </c:pt>
                <c:pt idx="100">
                  <c:v>8.8605622802399503E-2</c:v>
                </c:pt>
                <c:pt idx="101">
                  <c:v>9.0127517289525699E-2</c:v>
                </c:pt>
                <c:pt idx="102">
                  <c:v>8.9658279472343613E-3</c:v>
                </c:pt>
                <c:pt idx="103">
                  <c:v>8.6003193084341484E-3</c:v>
                </c:pt>
                <c:pt idx="104">
                  <c:v>3.708633273345331E-3</c:v>
                </c:pt>
                <c:pt idx="105">
                  <c:v>2.893270521298499E-3</c:v>
                </c:pt>
                <c:pt idx="106">
                  <c:v>9.2487708994198128E-3</c:v>
                </c:pt>
                <c:pt idx="107">
                  <c:v>3.9785630873712874E-3</c:v>
                </c:pt>
                <c:pt idx="108">
                  <c:v>1.9707972082510777E-2</c:v>
                </c:pt>
                <c:pt idx="109">
                  <c:v>5.8228772975697604E-2</c:v>
                </c:pt>
                <c:pt idx="110">
                  <c:v>2.8354122799456559E-2</c:v>
                </c:pt>
                <c:pt idx="111">
                  <c:v>3.7119775215542439E-2</c:v>
                </c:pt>
                <c:pt idx="112">
                  <c:v>4.4859877904838107E-3</c:v>
                </c:pt>
                <c:pt idx="113">
                  <c:v>1.3873429036617681E-2</c:v>
                </c:pt>
                <c:pt idx="114">
                  <c:v>4.9066373843356319E-2</c:v>
                </c:pt>
                <c:pt idx="115">
                  <c:v>7.5526853432593549E-2</c:v>
                </c:pt>
                <c:pt idx="116">
                  <c:v>3.0812278571842319E-2</c:v>
                </c:pt>
                <c:pt idx="117">
                  <c:v>0</c:v>
                </c:pt>
                <c:pt idx="118">
                  <c:v>8.0306781800537413E-4</c:v>
                </c:pt>
                <c:pt idx="119">
                  <c:v>0</c:v>
                </c:pt>
                <c:pt idx="120">
                  <c:v>6.4033107858192287E-2</c:v>
                </c:pt>
                <c:pt idx="121">
                  <c:v>4.3657158237983586E-2</c:v>
                </c:pt>
                <c:pt idx="122">
                  <c:v>4.268257184108798E-2</c:v>
                </c:pt>
                <c:pt idx="123">
                  <c:v>1.4713435786386161E-2</c:v>
                </c:pt>
                <c:pt idx="124">
                  <c:v>2.2255542335429666E-2</c:v>
                </c:pt>
                <c:pt idx="125">
                  <c:v>1.6784322148833842E-2</c:v>
                </c:pt>
                <c:pt idx="126">
                  <c:v>1.0280361573932102E-3</c:v>
                </c:pt>
                <c:pt idx="127">
                  <c:v>1.5622711121547681E-2</c:v>
                </c:pt>
                <c:pt idx="128">
                  <c:v>2.0144181312639329E-3</c:v>
                </c:pt>
                <c:pt idx="129">
                  <c:v>1.3421602829718104E-2</c:v>
                </c:pt>
                <c:pt idx="130">
                  <c:v>7.4351486710936979E-3</c:v>
                </c:pt>
                <c:pt idx="131">
                  <c:v>2.5537433200080429E-3</c:v>
                </c:pt>
                <c:pt idx="132">
                  <c:v>4.027827154434499E-2</c:v>
                </c:pt>
                <c:pt idx="133">
                  <c:v>0.16860159315810613</c:v>
                </c:pt>
                <c:pt idx="134">
                  <c:v>8.569276356465623E-2</c:v>
                </c:pt>
                <c:pt idx="135">
                  <c:v>1.226472532767566E-2</c:v>
                </c:pt>
                <c:pt idx="136">
                  <c:v>2.9688623602755894E-3</c:v>
                </c:pt>
                <c:pt idx="137">
                  <c:v>2.3823084219219252E-2</c:v>
                </c:pt>
                <c:pt idx="138">
                  <c:v>1.1443117909229351E-2</c:v>
                </c:pt>
                <c:pt idx="139">
                  <c:v>2.2944224812296798E-2</c:v>
                </c:pt>
                <c:pt idx="140">
                  <c:v>8.7482108789335971E-3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3.9356125036434521E-2</c:v>
                </c:pt>
                <c:pt idx="145">
                  <c:v>0.11158645199689728</c:v>
                </c:pt>
                <c:pt idx="146">
                  <c:v>9.4484200062447829E-2</c:v>
                </c:pt>
                <c:pt idx="147">
                  <c:v>2.5005587673727708E-2</c:v>
                </c:pt>
                <c:pt idx="148">
                  <c:v>9.5159973554454665E-3</c:v>
                </c:pt>
                <c:pt idx="149">
                  <c:v>1.9994750036349655E-2</c:v>
                </c:pt>
                <c:pt idx="150">
                  <c:v>1.1509929551877173E-3</c:v>
                </c:pt>
                <c:pt idx="151">
                  <c:v>4.5554999646086654E-4</c:v>
                </c:pt>
                <c:pt idx="152">
                  <c:v>2.7154948429052353E-4</c:v>
                </c:pt>
                <c:pt idx="153">
                  <c:v>1.5161553164431652E-3</c:v>
                </c:pt>
                <c:pt idx="154">
                  <c:v>6.1307156523971145E-4</c:v>
                </c:pt>
                <c:pt idx="155">
                  <c:v>2.1129444550987164E-3</c:v>
                </c:pt>
                <c:pt idx="156">
                  <c:v>9.1211392350659254E-3</c:v>
                </c:pt>
                <c:pt idx="157">
                  <c:v>6.4812432259624009E-3</c:v>
                </c:pt>
                <c:pt idx="158">
                  <c:v>0</c:v>
                </c:pt>
                <c:pt idx="159">
                  <c:v>1.6486212423538649E-2</c:v>
                </c:pt>
                <c:pt idx="160">
                  <c:v>3.1909844016085862E-3</c:v>
                </c:pt>
                <c:pt idx="161">
                  <c:v>3.1823472948275689E-3</c:v>
                </c:pt>
                <c:pt idx="162">
                  <c:v>2.6130986655984777E-3</c:v>
                </c:pt>
                <c:pt idx="163">
                  <c:v>1.9603917639885868E-2</c:v>
                </c:pt>
                <c:pt idx="164">
                  <c:v>8.7132445218184409E-4</c:v>
                </c:pt>
                <c:pt idx="165">
                  <c:v>1.8359627484483322E-3</c:v>
                </c:pt>
                <c:pt idx="166">
                  <c:v>2.164702868416921E-2</c:v>
                </c:pt>
                <c:pt idx="167">
                  <c:v>2.0326258957544835E-2</c:v>
                </c:pt>
                <c:pt idx="168">
                  <c:v>0</c:v>
                </c:pt>
                <c:pt idx="169">
                  <c:v>2.5164061053288451E-3</c:v>
                </c:pt>
                <c:pt idx="170">
                  <c:v>3.514995942048761E-3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1.5176758403179814E-2</c:v>
                </c:pt>
                <c:pt idx="175">
                  <c:v>6.0869698704656876E-3</c:v>
                </c:pt>
                <c:pt idx="176">
                  <c:v>1.4433771375345877E-2</c:v>
                </c:pt>
                <c:pt idx="177">
                  <c:v>1.5689722294316116E-2</c:v>
                </c:pt>
                <c:pt idx="178">
                  <c:v>1.2079815919200621E-2</c:v>
                </c:pt>
                <c:pt idx="179">
                  <c:v>8.6406693721424403E-3</c:v>
                </c:pt>
                <c:pt idx="180">
                  <c:v>1.286841629370391E-3</c:v>
                </c:pt>
                <c:pt idx="181">
                  <c:v>0</c:v>
                </c:pt>
                <c:pt idx="182">
                  <c:v>3.5704699557913944E-4</c:v>
                </c:pt>
                <c:pt idx="183">
                  <c:v>1.1246067726889436E-2</c:v>
                </c:pt>
                <c:pt idx="184">
                  <c:v>1.5066135607100401E-2</c:v>
                </c:pt>
                <c:pt idx="185">
                  <c:v>2.2059961845786274E-2</c:v>
                </c:pt>
                <c:pt idx="186">
                  <c:v>4.9173696519318813E-2</c:v>
                </c:pt>
                <c:pt idx="187">
                  <c:v>9.237139148579597E-2</c:v>
                </c:pt>
                <c:pt idx="188">
                  <c:v>0.10551695058052583</c:v>
                </c:pt>
                <c:pt idx="189">
                  <c:v>3.6640570623877071E-3</c:v>
                </c:pt>
                <c:pt idx="190">
                  <c:v>2.564401885813539E-2</c:v>
                </c:pt>
                <c:pt idx="191">
                  <c:v>1.0111836003526779E-2</c:v>
                </c:pt>
                <c:pt idx="192">
                  <c:v>8.121656680213972E-2</c:v>
                </c:pt>
                <c:pt idx="193">
                  <c:v>4.8352704077940754E-2</c:v>
                </c:pt>
                <c:pt idx="194">
                  <c:v>5.4880948059961528E-2</c:v>
                </c:pt>
                <c:pt idx="195">
                  <c:v>1.5962100636493688E-2</c:v>
                </c:pt>
                <c:pt idx="196">
                  <c:v>8.8671814156338312E-3</c:v>
                </c:pt>
                <c:pt idx="197">
                  <c:v>3.8382611265247155E-3</c:v>
                </c:pt>
                <c:pt idx="198">
                  <c:v>6.6023140477252989E-4</c:v>
                </c:pt>
                <c:pt idx="199">
                  <c:v>0</c:v>
                </c:pt>
                <c:pt idx="200">
                  <c:v>0</c:v>
                </c:pt>
                <c:pt idx="201">
                  <c:v>1.3502647223577456E-2</c:v>
                </c:pt>
                <c:pt idx="202">
                  <c:v>1.9192060180423732E-2</c:v>
                </c:pt>
                <c:pt idx="203">
                  <c:v>5.045423876861399E-2</c:v>
                </c:pt>
                <c:pt idx="204">
                  <c:v>5.2029864571683038E-3</c:v>
                </c:pt>
                <c:pt idx="205">
                  <c:v>7.0103126913972618E-3</c:v>
                </c:pt>
                <c:pt idx="206">
                  <c:v>1.9047091348377315E-2</c:v>
                </c:pt>
                <c:pt idx="207">
                  <c:v>3.5801874866983857E-2</c:v>
                </c:pt>
                <c:pt idx="208">
                  <c:v>1.9848154964500112E-2</c:v>
                </c:pt>
                <c:pt idx="209">
                  <c:v>3.7407266596012644E-2</c:v>
                </c:pt>
                <c:pt idx="210">
                  <c:v>3.5022732816939836E-2</c:v>
                </c:pt>
                <c:pt idx="211">
                  <c:v>4.0153027490272865E-2</c:v>
                </c:pt>
                <c:pt idx="212">
                  <c:v>5.7570292666381515E-2</c:v>
                </c:pt>
                <c:pt idx="213">
                  <c:v>1.7525042793829413E-2</c:v>
                </c:pt>
                <c:pt idx="214">
                  <c:v>6.3293479453623343E-3</c:v>
                </c:pt>
                <c:pt idx="215">
                  <c:v>1.1264147935597003E-2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3.3231620923018575E-2</c:v>
                </c:pt>
                <c:pt idx="220">
                  <c:v>6.7859060858075665E-2</c:v>
                </c:pt>
                <c:pt idx="221">
                  <c:v>4.1307999852313662E-2</c:v>
                </c:pt>
                <c:pt idx="222">
                  <c:v>2.2332152918961637E-2</c:v>
                </c:pt>
                <c:pt idx="223">
                  <c:v>7.0908292366219476E-3</c:v>
                </c:pt>
                <c:pt idx="224">
                  <c:v>1.502445667138945E-2</c:v>
                </c:pt>
                <c:pt idx="225">
                  <c:v>9.4847021694018221E-2</c:v>
                </c:pt>
                <c:pt idx="226">
                  <c:v>6.0176137146935038E-2</c:v>
                </c:pt>
                <c:pt idx="227">
                  <c:v>7.9980045846302431E-3</c:v>
                </c:pt>
                <c:pt idx="228">
                  <c:v>7.412760648079302E-4</c:v>
                </c:pt>
                <c:pt idx="229">
                  <c:v>7.9383956960363494E-4</c:v>
                </c:pt>
                <c:pt idx="230">
                  <c:v>2.179485081839298E-3</c:v>
                </c:pt>
                <c:pt idx="231">
                  <c:v>6.0665491823470334E-3</c:v>
                </c:pt>
                <c:pt idx="232">
                  <c:v>7.8921978389846954E-4</c:v>
                </c:pt>
                <c:pt idx="233">
                  <c:v>2.4474955367842034E-2</c:v>
                </c:pt>
                <c:pt idx="234">
                  <c:v>1.409117533343983E-2</c:v>
                </c:pt>
                <c:pt idx="235">
                  <c:v>2.8674023782608669E-3</c:v>
                </c:pt>
                <c:pt idx="236">
                  <c:v>1.2401311650973418E-3</c:v>
                </c:pt>
                <c:pt idx="237">
                  <c:v>1.900707378336516E-2</c:v>
                </c:pt>
                <c:pt idx="238">
                  <c:v>3.2760023998580766E-2</c:v>
                </c:pt>
                <c:pt idx="239">
                  <c:v>8.8026990191864499E-3</c:v>
                </c:pt>
                <c:pt idx="240">
                  <c:v>1.9253676981628727E-2</c:v>
                </c:pt>
                <c:pt idx="241">
                  <c:v>4.6727059072827273E-3</c:v>
                </c:pt>
                <c:pt idx="242">
                  <c:v>9.3815439444583566E-4</c:v>
                </c:pt>
                <c:pt idx="243">
                  <c:v>2.203155250799459E-2</c:v>
                </c:pt>
                <c:pt idx="244">
                  <c:v>0</c:v>
                </c:pt>
                <c:pt idx="245">
                  <c:v>0</c:v>
                </c:pt>
                <c:pt idx="246">
                  <c:v>7.3366394983823309E-4</c:v>
                </c:pt>
                <c:pt idx="247">
                  <c:v>0</c:v>
                </c:pt>
                <c:pt idx="248">
                  <c:v>1.2165148476799435E-4</c:v>
                </c:pt>
                <c:pt idx="249">
                  <c:v>5.5154662316866951E-3</c:v>
                </c:pt>
                <c:pt idx="250">
                  <c:v>1.6893113524261157E-2</c:v>
                </c:pt>
                <c:pt idx="251">
                  <c:v>2.7376083790115125E-2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2.0865043979579464E-3</c:v>
                </c:pt>
                <c:pt idx="256">
                  <c:v>6.3843576961450923E-3</c:v>
                </c:pt>
                <c:pt idx="257">
                  <c:v>1.0848371500766002E-3</c:v>
                </c:pt>
                <c:pt idx="258">
                  <c:v>4.7893099267791589E-3</c:v>
                </c:pt>
                <c:pt idx="259">
                  <c:v>2.7604474014946416E-2</c:v>
                </c:pt>
                <c:pt idx="260">
                  <c:v>3.000571408454137E-2</c:v>
                </c:pt>
                <c:pt idx="261">
                  <c:v>3.6507788742009557E-2</c:v>
                </c:pt>
                <c:pt idx="262">
                  <c:v>6.9063915093523734E-2</c:v>
                </c:pt>
                <c:pt idx="263">
                  <c:v>8.1441633410520436E-3</c:v>
                </c:pt>
                <c:pt idx="264">
                  <c:v>2.9019393432605411E-2</c:v>
                </c:pt>
                <c:pt idx="265">
                  <c:v>3.3456804199579929E-2</c:v>
                </c:pt>
                <c:pt idx="266">
                  <c:v>6.2053236595184524E-2</c:v>
                </c:pt>
                <c:pt idx="267">
                  <c:v>2.2429522819388571E-2</c:v>
                </c:pt>
                <c:pt idx="268">
                  <c:v>5.2430070083801586E-2</c:v>
                </c:pt>
                <c:pt idx="269">
                  <c:v>8.7687795534805765E-3</c:v>
                </c:pt>
                <c:pt idx="270">
                  <c:v>0.10980480552014056</c:v>
                </c:pt>
                <c:pt idx="271">
                  <c:v>0.10480274574941457</c:v>
                </c:pt>
                <c:pt idx="272">
                  <c:v>0.1247081391815235</c:v>
                </c:pt>
                <c:pt idx="273">
                  <c:v>7.4700141432114025E-3</c:v>
                </c:pt>
                <c:pt idx="274">
                  <c:v>8.0890305225206592E-3</c:v>
                </c:pt>
                <c:pt idx="275">
                  <c:v>1.3573978682864947E-4</c:v>
                </c:pt>
                <c:pt idx="276">
                  <c:v>1.7920459820830795E-3</c:v>
                </c:pt>
                <c:pt idx="277">
                  <c:v>4.7528812620464735E-3</c:v>
                </c:pt>
                <c:pt idx="278">
                  <c:v>3.0191785353398306E-3</c:v>
                </c:pt>
                <c:pt idx="279">
                  <c:v>2.4125723555526348E-4</c:v>
                </c:pt>
                <c:pt idx="280">
                  <c:v>3.2238164798749848E-3</c:v>
                </c:pt>
                <c:pt idx="281">
                  <c:v>7.3215344271943678E-3</c:v>
                </c:pt>
                <c:pt idx="282">
                  <c:v>0</c:v>
                </c:pt>
                <c:pt idx="283">
                  <c:v>2.2339842597443264E-3</c:v>
                </c:pt>
                <c:pt idx="284">
                  <c:v>3.5697386086435664E-3</c:v>
                </c:pt>
                <c:pt idx="285">
                  <c:v>2.6793163845063553E-3</c:v>
                </c:pt>
                <c:pt idx="286">
                  <c:v>4.5097297154575297E-3</c:v>
                </c:pt>
                <c:pt idx="287">
                  <c:v>2.517067522785129E-3</c:v>
                </c:pt>
                <c:pt idx="288">
                  <c:v>3.7690592228076136E-2</c:v>
                </c:pt>
                <c:pt idx="289">
                  <c:v>6.4155849778520999E-2</c:v>
                </c:pt>
                <c:pt idx="290">
                  <c:v>4.9488938968087169E-2</c:v>
                </c:pt>
                <c:pt idx="291">
                  <c:v>1.58647343610854E-2</c:v>
                </c:pt>
                <c:pt idx="292">
                  <c:v>7.215029723218773E-2</c:v>
                </c:pt>
                <c:pt idx="293">
                  <c:v>2.0242131128156416E-2</c:v>
                </c:pt>
                <c:pt idx="294">
                  <c:v>4.719009548487673E-2</c:v>
                </c:pt>
                <c:pt idx="295">
                  <c:v>4.558946154932722E-2</c:v>
                </c:pt>
                <c:pt idx="296">
                  <c:v>4.6876661522700452E-2</c:v>
                </c:pt>
                <c:pt idx="297">
                  <c:v>9.4412970715216466E-4</c:v>
                </c:pt>
                <c:pt idx="298">
                  <c:v>8.666698266268975E-4</c:v>
                </c:pt>
                <c:pt idx="299">
                  <c:v>7.1066575487405579E-3</c:v>
                </c:pt>
                <c:pt idx="300">
                  <c:v>9.2881774817890495E-3</c:v>
                </c:pt>
                <c:pt idx="301">
                  <c:v>1.6989410790795682E-2</c:v>
                </c:pt>
                <c:pt idx="302">
                  <c:v>9.7704442912525825E-3</c:v>
                </c:pt>
                <c:pt idx="303">
                  <c:v>6.6681484774394314E-4</c:v>
                </c:pt>
                <c:pt idx="304">
                  <c:v>0</c:v>
                </c:pt>
                <c:pt idx="305">
                  <c:v>7.5863475850083597E-3</c:v>
                </c:pt>
                <c:pt idx="306">
                  <c:v>1.1793228165210794E-2</c:v>
                </c:pt>
                <c:pt idx="307">
                  <c:v>2.4262219319951043E-2</c:v>
                </c:pt>
                <c:pt idx="308">
                  <c:v>3.9368769892164562E-2</c:v>
                </c:pt>
                <c:pt idx="309">
                  <c:v>3.2943379771341999E-2</c:v>
                </c:pt>
                <c:pt idx="310">
                  <c:v>3.9395307910869579E-2</c:v>
                </c:pt>
                <c:pt idx="311">
                  <c:v>3.5774993975281444E-2</c:v>
                </c:pt>
                <c:pt idx="312">
                  <c:v>1.4999135827387865E-3</c:v>
                </c:pt>
                <c:pt idx="313">
                  <c:v>1.6536311855544043E-2</c:v>
                </c:pt>
                <c:pt idx="314">
                  <c:v>2.4817671484007246E-4</c:v>
                </c:pt>
                <c:pt idx="315">
                  <c:v>1.6416889970651477E-4</c:v>
                </c:pt>
                <c:pt idx="316">
                  <c:v>0</c:v>
                </c:pt>
                <c:pt idx="317">
                  <c:v>3.8644570898264892E-4</c:v>
                </c:pt>
                <c:pt idx="318">
                  <c:v>9.4677728123837204E-3</c:v>
                </c:pt>
                <c:pt idx="319">
                  <c:v>5.832150557991661E-3</c:v>
                </c:pt>
                <c:pt idx="320">
                  <c:v>9.2628264626475575E-3</c:v>
                </c:pt>
                <c:pt idx="321">
                  <c:v>0.15315650716642193</c:v>
                </c:pt>
                <c:pt idx="322">
                  <c:v>0.12261251157209942</c:v>
                </c:pt>
                <c:pt idx="323">
                  <c:v>8.7821761091261941E-2</c:v>
                </c:pt>
                <c:pt idx="324">
                  <c:v>1.7144875452120577E-2</c:v>
                </c:pt>
                <c:pt idx="325">
                  <c:v>3.8015959484641239E-2</c:v>
                </c:pt>
                <c:pt idx="326">
                  <c:v>5.4826671177409636E-2</c:v>
                </c:pt>
                <c:pt idx="327">
                  <c:v>4.7699579657105237E-2</c:v>
                </c:pt>
                <c:pt idx="328">
                  <c:v>8.1238070641667673E-2</c:v>
                </c:pt>
                <c:pt idx="329">
                  <c:v>4.7936446171984823E-2</c:v>
                </c:pt>
                <c:pt idx="330">
                  <c:v>3.3194396093448623E-3</c:v>
                </c:pt>
                <c:pt idx="331">
                  <c:v>1.4636449095698667E-2</c:v>
                </c:pt>
                <c:pt idx="332">
                  <c:v>0</c:v>
                </c:pt>
                <c:pt idx="333">
                  <c:v>1.5597888968700133E-2</c:v>
                </c:pt>
                <c:pt idx="334">
                  <c:v>9.4732937892338543E-3</c:v>
                </c:pt>
                <c:pt idx="335">
                  <c:v>8.3406882866136813E-3</c:v>
                </c:pt>
                <c:pt idx="336">
                  <c:v>1.2845319493961713E-2</c:v>
                </c:pt>
                <c:pt idx="337">
                  <c:v>7.8577056736077507E-3</c:v>
                </c:pt>
                <c:pt idx="338">
                  <c:v>1.5882989936815718E-3</c:v>
                </c:pt>
                <c:pt idx="339">
                  <c:v>6.2340546538227843E-3</c:v>
                </c:pt>
                <c:pt idx="340">
                  <c:v>5.6588319759561757E-3</c:v>
                </c:pt>
                <c:pt idx="341">
                  <c:v>1.0941654323719878E-2</c:v>
                </c:pt>
                <c:pt idx="342">
                  <c:v>9.0307987973435824E-2</c:v>
                </c:pt>
                <c:pt idx="343">
                  <c:v>0.10781330657184722</c:v>
                </c:pt>
                <c:pt idx="344">
                  <c:v>0.10630488644131995</c:v>
                </c:pt>
                <c:pt idx="345">
                  <c:v>0.10573947836602428</c:v>
                </c:pt>
                <c:pt idx="346">
                  <c:v>0.14469600346814271</c:v>
                </c:pt>
                <c:pt idx="347">
                  <c:v>0.20041429088215534</c:v>
                </c:pt>
                <c:pt idx="348">
                  <c:v>5.9179652179302657E-3</c:v>
                </c:pt>
                <c:pt idx="349">
                  <c:v>1.2527958336339606E-3</c:v>
                </c:pt>
                <c:pt idx="350">
                  <c:v>9.9369437676612984E-4</c:v>
                </c:pt>
                <c:pt idx="351">
                  <c:v>1.4853599987130455E-3</c:v>
                </c:pt>
                <c:pt idx="352">
                  <c:v>8.1549905225627457E-3</c:v>
                </c:pt>
                <c:pt idx="353">
                  <c:v>4.0301710842043396E-3</c:v>
                </c:pt>
                <c:pt idx="354">
                  <c:v>7.7115130267117367E-3</c:v>
                </c:pt>
                <c:pt idx="355">
                  <c:v>1.2918992153888964E-3</c:v>
                </c:pt>
                <c:pt idx="356">
                  <c:v>2.3297831080111943E-2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2.0672341005201545E-4</c:v>
                </c:pt>
                <c:pt idx="361">
                  <c:v>8.3031893754670545E-4</c:v>
                </c:pt>
                <c:pt idx="362">
                  <c:v>1.2039275479107123E-3</c:v>
                </c:pt>
                <c:pt idx="363">
                  <c:v>4.5115076982394559E-2</c:v>
                </c:pt>
                <c:pt idx="364">
                  <c:v>4.0494722445622786E-2</c:v>
                </c:pt>
                <c:pt idx="365">
                  <c:v>4.8884627021634666E-2</c:v>
                </c:pt>
                <c:pt idx="366">
                  <c:v>5.3767572398700288E-2</c:v>
                </c:pt>
                <c:pt idx="367">
                  <c:v>0.1064448756174475</c:v>
                </c:pt>
                <c:pt idx="368">
                  <c:v>3.8952027710284318E-2</c:v>
                </c:pt>
                <c:pt idx="369">
                  <c:v>1.3151379136778095E-2</c:v>
                </c:pt>
                <c:pt idx="370">
                  <c:v>1.2988624637869104E-2</c:v>
                </c:pt>
                <c:pt idx="371">
                  <c:v>1.4001965256924981E-2</c:v>
                </c:pt>
                <c:pt idx="372">
                  <c:v>1.8743850117255403E-2</c:v>
                </c:pt>
                <c:pt idx="373">
                  <c:v>1.4782215442352734E-3</c:v>
                </c:pt>
                <c:pt idx="374">
                  <c:v>2.0935250049185294E-2</c:v>
                </c:pt>
                <c:pt idx="375">
                  <c:v>1.4920759921331168E-2</c:v>
                </c:pt>
                <c:pt idx="376">
                  <c:v>3.7432397480071798E-3</c:v>
                </c:pt>
                <c:pt idx="377">
                  <c:v>8.371732398996962E-3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0.11760203757574218</c:v>
                </c:pt>
                <c:pt idx="382">
                  <c:v>8.3542242180115939E-2</c:v>
                </c:pt>
                <c:pt idx="383">
                  <c:v>6.301432000027081E-2</c:v>
                </c:pt>
                <c:pt idx="384">
                  <c:v>4.219325331548218E-3</c:v>
                </c:pt>
                <c:pt idx="385">
                  <c:v>3.2336022696186528E-3</c:v>
                </c:pt>
                <c:pt idx="386">
                  <c:v>3.4043817740666118E-3</c:v>
                </c:pt>
                <c:pt idx="387">
                  <c:v>6.8937708885861676E-2</c:v>
                </c:pt>
                <c:pt idx="388">
                  <c:v>6.3487926504556189E-2</c:v>
                </c:pt>
                <c:pt idx="389">
                  <c:v>2.7081357587434827E-2</c:v>
                </c:pt>
                <c:pt idx="390">
                  <c:v>1.5531297657405602E-2</c:v>
                </c:pt>
                <c:pt idx="391">
                  <c:v>4.6714454056033174E-2</c:v>
                </c:pt>
                <c:pt idx="392">
                  <c:v>1.9749726370726573E-2</c:v>
                </c:pt>
                <c:pt idx="393">
                  <c:v>5.8309572008264886E-3</c:v>
                </c:pt>
                <c:pt idx="394">
                  <c:v>6.4545512497052671E-3</c:v>
                </c:pt>
                <c:pt idx="395">
                  <c:v>4.9296971348869445E-4</c:v>
                </c:pt>
                <c:pt idx="396">
                  <c:v>1.6546170520095143E-2</c:v>
                </c:pt>
                <c:pt idx="397">
                  <c:v>1.7756246707502248E-2</c:v>
                </c:pt>
                <c:pt idx="398">
                  <c:v>1.7557693780661299E-2</c:v>
                </c:pt>
                <c:pt idx="399">
                  <c:v>3.132632173360627E-2</c:v>
                </c:pt>
                <c:pt idx="400">
                  <c:v>3.9065951810973325E-2</c:v>
                </c:pt>
                <c:pt idx="401">
                  <c:v>4.4550533226408194E-2</c:v>
                </c:pt>
                <c:pt idx="402">
                  <c:v>6.6788867977677163E-2</c:v>
                </c:pt>
                <c:pt idx="403">
                  <c:v>6.6627092166070975E-2</c:v>
                </c:pt>
                <c:pt idx="404">
                  <c:v>3.1628880386033113E-2</c:v>
                </c:pt>
                <c:pt idx="405">
                  <c:v>4.4541446814403488E-2</c:v>
                </c:pt>
                <c:pt idx="406">
                  <c:v>1.5759818521570962E-2</c:v>
                </c:pt>
                <c:pt idx="407">
                  <c:v>9.0658274013696531E-3</c:v>
                </c:pt>
                <c:pt idx="408">
                  <c:v>5.2798571958340403E-2</c:v>
                </c:pt>
                <c:pt idx="409">
                  <c:v>3.119471565791088E-2</c:v>
                </c:pt>
                <c:pt idx="410">
                  <c:v>7.2914533686565435E-3</c:v>
                </c:pt>
                <c:pt idx="411">
                  <c:v>1.814910171852268E-3</c:v>
                </c:pt>
                <c:pt idx="412">
                  <c:v>6.3762308950226177E-3</c:v>
                </c:pt>
                <c:pt idx="413">
                  <c:v>3.5003906015263508E-3</c:v>
                </c:pt>
                <c:pt idx="414">
                  <c:v>2.0900489880645596E-3</c:v>
                </c:pt>
                <c:pt idx="415">
                  <c:v>4.0972798924436095E-2</c:v>
                </c:pt>
                <c:pt idx="416">
                  <c:v>2.2404630877334762E-2</c:v>
                </c:pt>
                <c:pt idx="417">
                  <c:v>0</c:v>
                </c:pt>
                <c:pt idx="418">
                  <c:v>2.1176200920201831E-2</c:v>
                </c:pt>
                <c:pt idx="419">
                  <c:v>1.7461035034611151E-2</c:v>
                </c:pt>
                <c:pt idx="420">
                  <c:v>4.6979939888833283E-2</c:v>
                </c:pt>
                <c:pt idx="421">
                  <c:v>3.2854714967835569E-3</c:v>
                </c:pt>
                <c:pt idx="422">
                  <c:v>5.9281363618881736E-3</c:v>
                </c:pt>
                <c:pt idx="423">
                  <c:v>4.4361287633242305E-2</c:v>
                </c:pt>
                <c:pt idx="424">
                  <c:v>4.5311573712740597E-2</c:v>
                </c:pt>
                <c:pt idx="425">
                  <c:v>2.6164270181625635E-2</c:v>
                </c:pt>
                <c:pt idx="426">
                  <c:v>0.12122505202500101</c:v>
                </c:pt>
                <c:pt idx="427">
                  <c:v>0.14053082036854328</c:v>
                </c:pt>
                <c:pt idx="428">
                  <c:v>0</c:v>
                </c:pt>
                <c:pt idx="429">
                  <c:v>2.5250082390690918E-4</c:v>
                </c:pt>
                <c:pt idx="430">
                  <c:v>1.2882591726960625E-3</c:v>
                </c:pt>
                <c:pt idx="431">
                  <c:v>0</c:v>
                </c:pt>
                <c:pt idx="432">
                  <c:v>1.6202584837552419E-3</c:v>
                </c:pt>
                <c:pt idx="433">
                  <c:v>0</c:v>
                </c:pt>
                <c:pt idx="434">
                  <c:v>1.3696082115756188E-2</c:v>
                </c:pt>
                <c:pt idx="435">
                  <c:v>1.2844750931545609E-3</c:v>
                </c:pt>
                <c:pt idx="436">
                  <c:v>3.9200271167909636E-3</c:v>
                </c:pt>
                <c:pt idx="437">
                  <c:v>5.294831577183317E-2</c:v>
                </c:pt>
                <c:pt idx="438">
                  <c:v>8.052171871762262E-2</c:v>
                </c:pt>
                <c:pt idx="439">
                  <c:v>6.8029232851906221E-2</c:v>
                </c:pt>
                <c:pt idx="440">
                  <c:v>0.12289630485643492</c:v>
                </c:pt>
                <c:pt idx="441">
                  <c:v>5.459948603651333E-2</c:v>
                </c:pt>
                <c:pt idx="442">
                  <c:v>5.0260770133854729E-2</c:v>
                </c:pt>
                <c:pt idx="443">
                  <c:v>1.4093980381339591E-2</c:v>
                </c:pt>
                <c:pt idx="444">
                  <c:v>3.6091899411075496E-3</c:v>
                </c:pt>
                <c:pt idx="445">
                  <c:v>1.3216981196588989E-2</c:v>
                </c:pt>
                <c:pt idx="446">
                  <c:v>7.415560705310606E-2</c:v>
                </c:pt>
                <c:pt idx="447">
                  <c:v>5.1559943024400839E-2</c:v>
                </c:pt>
                <c:pt idx="448">
                  <c:v>8.2913345153499282E-2</c:v>
                </c:pt>
                <c:pt idx="449">
                  <c:v>8.014906629237678E-2</c:v>
                </c:pt>
                <c:pt idx="450">
                  <c:v>0.11797417634624024</c:v>
                </c:pt>
                <c:pt idx="451">
                  <c:v>1.9790222819154709E-2</c:v>
                </c:pt>
                <c:pt idx="452">
                  <c:v>0</c:v>
                </c:pt>
                <c:pt idx="453">
                  <c:v>1.7753235472707122E-4</c:v>
                </c:pt>
                <c:pt idx="454">
                  <c:v>0</c:v>
                </c:pt>
                <c:pt idx="455">
                  <c:v>2.4893118482769727E-3</c:v>
                </c:pt>
                <c:pt idx="456">
                  <c:v>6.9681161603796682E-4</c:v>
                </c:pt>
                <c:pt idx="457">
                  <c:v>1.995964144027894E-3</c:v>
                </c:pt>
                <c:pt idx="458">
                  <c:v>1.3104763459923487E-2</c:v>
                </c:pt>
                <c:pt idx="459">
                  <c:v>1.5849921866222718E-2</c:v>
                </c:pt>
                <c:pt idx="460">
                  <c:v>1.5223475390055471E-2</c:v>
                </c:pt>
                <c:pt idx="461">
                  <c:v>8.6279661480103548E-3</c:v>
                </c:pt>
                <c:pt idx="462">
                  <c:v>1.5347381488723688E-2</c:v>
                </c:pt>
                <c:pt idx="463">
                  <c:v>1.188611519849204E-2</c:v>
                </c:pt>
                <c:pt idx="464">
                  <c:v>3.182430782785026E-3</c:v>
                </c:pt>
                <c:pt idx="465">
                  <c:v>5.0544506831485822E-3</c:v>
                </c:pt>
                <c:pt idx="466">
                  <c:v>3.2588711752428879E-3</c:v>
                </c:pt>
                <c:pt idx="467">
                  <c:v>3.9241261788156975E-3</c:v>
                </c:pt>
                <c:pt idx="468">
                  <c:v>9.8805920944812611E-5</c:v>
                </c:pt>
                <c:pt idx="469">
                  <c:v>0</c:v>
                </c:pt>
                <c:pt idx="470">
                  <c:v>1.0465434248188544E-2</c:v>
                </c:pt>
                <c:pt idx="471">
                  <c:v>1.0019191515382478E-2</c:v>
                </c:pt>
                <c:pt idx="472">
                  <c:v>1.0939605675911351E-2</c:v>
                </c:pt>
                <c:pt idx="473">
                  <c:v>0</c:v>
                </c:pt>
                <c:pt idx="474">
                  <c:v>1.0230795000413151E-2</c:v>
                </c:pt>
                <c:pt idx="475">
                  <c:v>1.1230363364792431E-2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7.2967789766495719E-2</c:v>
                </c:pt>
                <c:pt idx="480">
                  <c:v>2.4081641861906873E-2</c:v>
                </c:pt>
                <c:pt idx="481">
                  <c:v>1.8502827301181069E-2</c:v>
                </c:pt>
                <c:pt idx="482">
                  <c:v>9.9717664789325089E-2</c:v>
                </c:pt>
                <c:pt idx="483">
                  <c:v>5.6026035570262207E-2</c:v>
                </c:pt>
                <c:pt idx="484">
                  <c:v>6.8302327671429852E-2</c:v>
                </c:pt>
                <c:pt idx="485">
                  <c:v>0</c:v>
                </c:pt>
                <c:pt idx="486">
                  <c:v>0</c:v>
                </c:pt>
                <c:pt idx="487">
                  <c:v>2.9782884768886147E-4</c:v>
                </c:pt>
                <c:pt idx="488">
                  <c:v>6.4699232422266205E-3</c:v>
                </c:pt>
                <c:pt idx="489">
                  <c:v>1.3058714910205202E-2</c:v>
                </c:pt>
                <c:pt idx="490">
                  <c:v>8.5824101167414346E-3</c:v>
                </c:pt>
                <c:pt idx="491">
                  <c:v>1.9251888626228837E-3</c:v>
                </c:pt>
                <c:pt idx="492">
                  <c:v>2.270715540754416E-3</c:v>
                </c:pt>
                <c:pt idx="493">
                  <c:v>0</c:v>
                </c:pt>
                <c:pt idx="494">
                  <c:v>0</c:v>
                </c:pt>
                <c:pt idx="495">
                  <c:v>1.6499669201192793E-3</c:v>
                </c:pt>
                <c:pt idx="496">
                  <c:v>5.8862097090353605E-4</c:v>
                </c:pt>
                <c:pt idx="497">
                  <c:v>1.1213434009237725E-2</c:v>
                </c:pt>
                <c:pt idx="498">
                  <c:v>7.9732801814318445E-3</c:v>
                </c:pt>
                <c:pt idx="499">
                  <c:v>8.7060972169387997E-3</c:v>
                </c:pt>
                <c:pt idx="500">
                  <c:v>6.3806726253122009E-3</c:v>
                </c:pt>
                <c:pt idx="501">
                  <c:v>8.0588231619323682E-3</c:v>
                </c:pt>
                <c:pt idx="502">
                  <c:v>2.6365833129700523E-2</c:v>
                </c:pt>
                <c:pt idx="503">
                  <c:v>7.168239465545647E-3</c:v>
                </c:pt>
                <c:pt idx="504">
                  <c:v>4.1543897495025385E-2</c:v>
                </c:pt>
                <c:pt idx="505">
                  <c:v>1.9334198862681593E-2</c:v>
                </c:pt>
                <c:pt idx="506">
                  <c:v>3.1809514824846744E-2</c:v>
                </c:pt>
                <c:pt idx="507">
                  <c:v>4.4035106380347154E-2</c:v>
                </c:pt>
                <c:pt idx="508">
                  <c:v>3.6037522345127158E-2</c:v>
                </c:pt>
                <c:pt idx="509">
                  <c:v>5.2228272930572389E-2</c:v>
                </c:pt>
                <c:pt idx="510">
                  <c:v>0.17090624127788392</c:v>
                </c:pt>
                <c:pt idx="511">
                  <c:v>8.5995815706281065E-2</c:v>
                </c:pt>
                <c:pt idx="512">
                  <c:v>2.0428719374654203E-3</c:v>
                </c:pt>
                <c:pt idx="513">
                  <c:v>1.6211416208671834E-3</c:v>
                </c:pt>
                <c:pt idx="514">
                  <c:v>2.7639285347981935E-4</c:v>
                </c:pt>
                <c:pt idx="515">
                  <c:v>2.9593003948193792E-3</c:v>
                </c:pt>
                <c:pt idx="516">
                  <c:v>5.9175748019983426E-4</c:v>
                </c:pt>
                <c:pt idx="517">
                  <c:v>0</c:v>
                </c:pt>
                <c:pt idx="518">
                  <c:v>0.12949607227925239</c:v>
                </c:pt>
                <c:pt idx="519">
                  <c:v>9.1358172342563576E-2</c:v>
                </c:pt>
                <c:pt idx="520">
                  <c:v>6.4900421864349189E-2</c:v>
                </c:pt>
                <c:pt idx="521">
                  <c:v>9.833336276535419E-2</c:v>
                </c:pt>
                <c:pt idx="522">
                  <c:v>2.4335424133811231E-2</c:v>
                </c:pt>
                <c:pt idx="523">
                  <c:v>5.3099313779097206E-2</c:v>
                </c:pt>
                <c:pt idx="524">
                  <c:v>3.0583114601870406E-2</c:v>
                </c:pt>
                <c:pt idx="525">
                  <c:v>0.10130052122303526</c:v>
                </c:pt>
                <c:pt idx="526">
                  <c:v>9.0806195637464171E-2</c:v>
                </c:pt>
                <c:pt idx="527">
                  <c:v>6.1319781204593653E-3</c:v>
                </c:pt>
                <c:pt idx="528">
                  <c:v>3.6401063479119466E-4</c:v>
                </c:pt>
                <c:pt idx="529">
                  <c:v>1.5603276030986464E-4</c:v>
                </c:pt>
                <c:pt idx="530">
                  <c:v>1.6426702175862992E-2</c:v>
                </c:pt>
                <c:pt idx="531">
                  <c:v>0</c:v>
                </c:pt>
                <c:pt idx="532">
                  <c:v>4.1289730825276828E-3</c:v>
                </c:pt>
                <c:pt idx="533">
                  <c:v>3.7988544965675726E-2</c:v>
                </c:pt>
                <c:pt idx="534">
                  <c:v>1.9393161298308387E-2</c:v>
                </c:pt>
                <c:pt idx="535">
                  <c:v>7.4797740802930853E-3</c:v>
                </c:pt>
                <c:pt idx="536">
                  <c:v>5.0554788719751366E-3</c:v>
                </c:pt>
                <c:pt idx="537">
                  <c:v>1.8007199090641184E-2</c:v>
                </c:pt>
                <c:pt idx="538">
                  <c:v>2.8429913551707407E-2</c:v>
                </c:pt>
                <c:pt idx="539">
                  <c:v>0.11876965181947513</c:v>
                </c:pt>
                <c:pt idx="540">
                  <c:v>0.13362093283034765</c:v>
                </c:pt>
                <c:pt idx="541">
                  <c:v>0.21238199936032115</c:v>
                </c:pt>
                <c:pt idx="542">
                  <c:v>6.8272528215218592E-2</c:v>
                </c:pt>
                <c:pt idx="543">
                  <c:v>0.14559406256598104</c:v>
                </c:pt>
                <c:pt idx="544">
                  <c:v>4.000860899984035E-2</c:v>
                </c:pt>
                <c:pt idx="545">
                  <c:v>8.5835441823908717E-2</c:v>
                </c:pt>
                <c:pt idx="546">
                  <c:v>6.3130695359471981E-2</c:v>
                </c:pt>
                <c:pt idx="547">
                  <c:v>8.6642165693833928E-2</c:v>
                </c:pt>
                <c:pt idx="548">
                  <c:v>9.7119748929643923E-2</c:v>
                </c:pt>
                <c:pt idx="549">
                  <c:v>7.1674435921977753E-2</c:v>
                </c:pt>
                <c:pt idx="550">
                  <c:v>8.4809642590535847E-2</c:v>
                </c:pt>
                <c:pt idx="551">
                  <c:v>5.4588718430208245E-2</c:v>
                </c:pt>
                <c:pt idx="552">
                  <c:v>1.0474293304633214E-2</c:v>
                </c:pt>
                <c:pt idx="553">
                  <c:v>5.0795198702991593E-3</c:v>
                </c:pt>
                <c:pt idx="554">
                  <c:v>1.2538486186767717E-4</c:v>
                </c:pt>
                <c:pt idx="555">
                  <c:v>0</c:v>
                </c:pt>
                <c:pt idx="556">
                  <c:v>4.2388054791980806E-4</c:v>
                </c:pt>
                <c:pt idx="557">
                  <c:v>1.8844826994648225E-3</c:v>
                </c:pt>
                <c:pt idx="558">
                  <c:v>1.3044559103158463E-3</c:v>
                </c:pt>
                <c:pt idx="559">
                  <c:v>4.640686846670487E-3</c:v>
                </c:pt>
                <c:pt idx="560">
                  <c:v>1.1796242571264529E-2</c:v>
                </c:pt>
                <c:pt idx="561">
                  <c:v>2.2550108429878254E-3</c:v>
                </c:pt>
                <c:pt idx="562">
                  <c:v>9.5652925416990758E-3</c:v>
                </c:pt>
                <c:pt idx="563">
                  <c:v>4.5315821850055327E-3</c:v>
                </c:pt>
                <c:pt idx="564">
                  <c:v>2.2334696554226766E-2</c:v>
                </c:pt>
                <c:pt idx="565">
                  <c:v>3.3323275561936531E-3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2.2722343293293809E-4</c:v>
                </c:pt>
                <c:pt idx="570">
                  <c:v>1.284854726869092E-3</c:v>
                </c:pt>
                <c:pt idx="571">
                  <c:v>6.0632999395949438E-3</c:v>
                </c:pt>
                <c:pt idx="572">
                  <c:v>1.8524312729086469E-2</c:v>
                </c:pt>
                <c:pt idx="573">
                  <c:v>3.1180155469582821E-3</c:v>
                </c:pt>
                <c:pt idx="574">
                  <c:v>4.4292563988661418E-3</c:v>
                </c:pt>
                <c:pt idx="575">
                  <c:v>1.4770977026221451E-3</c:v>
                </c:pt>
                <c:pt idx="576">
                  <c:v>3.0614398004899803E-3</c:v>
                </c:pt>
                <c:pt idx="577">
                  <c:v>1.8836699272096121E-4</c:v>
                </c:pt>
                <c:pt idx="578">
                  <c:v>2.7021838007207446E-2</c:v>
                </c:pt>
                <c:pt idx="579">
                  <c:v>2.7094712014176202E-2</c:v>
                </c:pt>
                <c:pt idx="580">
                  <c:v>1.7548751097331224E-2</c:v>
                </c:pt>
                <c:pt idx="581">
                  <c:v>6.3440382049844354E-2</c:v>
                </c:pt>
                <c:pt idx="582">
                  <c:v>2.3988980468330097E-2</c:v>
                </c:pt>
                <c:pt idx="583">
                  <c:v>8.3184184982444995E-2</c:v>
                </c:pt>
                <c:pt idx="584">
                  <c:v>2.3357063948143034E-2</c:v>
                </c:pt>
                <c:pt idx="585">
                  <c:v>2.8582881200997393E-2</c:v>
                </c:pt>
                <c:pt idx="586">
                  <c:v>1.9135024192741896E-2</c:v>
                </c:pt>
                <c:pt idx="587">
                  <c:v>2.9060535853292893E-2</c:v>
                </c:pt>
                <c:pt idx="588">
                  <c:v>1.9331921995544774E-2</c:v>
                </c:pt>
                <c:pt idx="589">
                  <c:v>2.6320869107152717E-2</c:v>
                </c:pt>
                <c:pt idx="590">
                  <c:v>4.1208967418109562E-3</c:v>
                </c:pt>
                <c:pt idx="591">
                  <c:v>3.0034971381675533E-3</c:v>
                </c:pt>
                <c:pt idx="592">
                  <c:v>5.0008976087793948E-3</c:v>
                </c:pt>
                <c:pt idx="593">
                  <c:v>2.1453524629472722E-2</c:v>
                </c:pt>
                <c:pt idx="594">
                  <c:v>4.138125561389544E-2</c:v>
                </c:pt>
                <c:pt idx="595">
                  <c:v>2.8676283506999755E-2</c:v>
                </c:pt>
                <c:pt idx="596">
                  <c:v>4.3763967905739781E-3</c:v>
                </c:pt>
                <c:pt idx="597">
                  <c:v>2.2702598776653492E-2</c:v>
                </c:pt>
                <c:pt idx="598">
                  <c:v>6.640317370741753E-3</c:v>
                </c:pt>
                <c:pt idx="599">
                  <c:v>4.3715426753609633E-3</c:v>
                </c:pt>
                <c:pt idx="600">
                  <c:v>6.3592437141474327E-3</c:v>
                </c:pt>
                <c:pt idx="601">
                  <c:v>4.1313240893706431E-4</c:v>
                </c:pt>
                <c:pt idx="602">
                  <c:v>3.602169746971124E-2</c:v>
                </c:pt>
                <c:pt idx="603">
                  <c:v>4.3516899299037452E-2</c:v>
                </c:pt>
                <c:pt idx="604">
                  <c:v>6.0681649534069369E-2</c:v>
                </c:pt>
                <c:pt idx="605">
                  <c:v>4.1716904494420538E-2</c:v>
                </c:pt>
                <c:pt idx="606">
                  <c:v>6.3531182495993307E-2</c:v>
                </c:pt>
                <c:pt idx="607">
                  <c:v>4.1460394165932411E-2</c:v>
                </c:pt>
                <c:pt idx="608">
                  <c:v>4.6580718926400595E-2</c:v>
                </c:pt>
                <c:pt idx="609">
                  <c:v>6.1746778587838391E-2</c:v>
                </c:pt>
                <c:pt idx="610">
                  <c:v>2.9036641511865007E-2</c:v>
                </c:pt>
                <c:pt idx="611">
                  <c:v>9.7382757577034618E-3</c:v>
                </c:pt>
                <c:pt idx="612">
                  <c:v>1.7828200127243714E-2</c:v>
                </c:pt>
                <c:pt idx="613">
                  <c:v>3.2481595265245147E-2</c:v>
                </c:pt>
                <c:pt idx="614">
                  <c:v>3.7501645509590224E-2</c:v>
                </c:pt>
                <c:pt idx="615">
                  <c:v>3.5213140251000728E-3</c:v>
                </c:pt>
                <c:pt idx="616">
                  <c:v>6.5429550900606523E-2</c:v>
                </c:pt>
                <c:pt idx="617">
                  <c:v>1.0673747053139552E-4</c:v>
                </c:pt>
                <c:pt idx="618">
                  <c:v>0</c:v>
                </c:pt>
                <c:pt idx="619">
                  <c:v>3.3752998716828146E-4</c:v>
                </c:pt>
                <c:pt idx="620">
                  <c:v>2.2481177583095108E-2</c:v>
                </c:pt>
                <c:pt idx="621">
                  <c:v>3.4790588607782804E-3</c:v>
                </c:pt>
                <c:pt idx="622">
                  <c:v>1.0248196744223821E-2</c:v>
                </c:pt>
                <c:pt idx="623">
                  <c:v>1.0811359663861483E-2</c:v>
                </c:pt>
                <c:pt idx="624">
                  <c:v>2.328914674388617E-4</c:v>
                </c:pt>
                <c:pt idx="625">
                  <c:v>1.544055349481922E-2</c:v>
                </c:pt>
                <c:pt idx="626">
                  <c:v>6.3828137869553006E-2</c:v>
                </c:pt>
                <c:pt idx="627">
                  <c:v>7.8198760040110477E-2</c:v>
                </c:pt>
                <c:pt idx="628">
                  <c:v>0.17105341162730725</c:v>
                </c:pt>
                <c:pt idx="629">
                  <c:v>5.6713181977397263E-3</c:v>
                </c:pt>
                <c:pt idx="630">
                  <c:v>1.6384861977105713E-2</c:v>
                </c:pt>
                <c:pt idx="631">
                  <c:v>6.3831794020971763E-2</c:v>
                </c:pt>
                <c:pt idx="632">
                  <c:v>1.3877115318200371E-2</c:v>
                </c:pt>
                <c:pt idx="633">
                  <c:v>1.4177808549504015E-2</c:v>
                </c:pt>
                <c:pt idx="634">
                  <c:v>4.7906399291065245E-3</c:v>
                </c:pt>
                <c:pt idx="635">
                  <c:v>6.0975131675525447E-4</c:v>
                </c:pt>
                <c:pt idx="636">
                  <c:v>1.0460611517789154E-3</c:v>
                </c:pt>
                <c:pt idx="637">
                  <c:v>4.769681696752074E-4</c:v>
                </c:pt>
                <c:pt idx="638">
                  <c:v>6.9640447523696715E-4</c:v>
                </c:pt>
                <c:pt idx="639">
                  <c:v>9.671978939562783E-4</c:v>
                </c:pt>
                <c:pt idx="640">
                  <c:v>0</c:v>
                </c:pt>
                <c:pt idx="641">
                  <c:v>9.6582666908206875E-3</c:v>
                </c:pt>
                <c:pt idx="642">
                  <c:v>1.7156945054521894E-2</c:v>
                </c:pt>
                <c:pt idx="643">
                  <c:v>3.9211596297664776E-2</c:v>
                </c:pt>
                <c:pt idx="644">
                  <c:v>2.0846585598963598E-2</c:v>
                </c:pt>
                <c:pt idx="645">
                  <c:v>4.9881408345592805E-3</c:v>
                </c:pt>
                <c:pt idx="646">
                  <c:v>1.1347032673236546E-2</c:v>
                </c:pt>
                <c:pt idx="647">
                  <c:v>4.6228502875569585E-4</c:v>
                </c:pt>
                <c:pt idx="648">
                  <c:v>0</c:v>
                </c:pt>
                <c:pt idx="649">
                  <c:v>0</c:v>
                </c:pt>
                <c:pt idx="650">
                  <c:v>6.44567420007111E-3</c:v>
                </c:pt>
                <c:pt idx="651">
                  <c:v>2.9221257176505228E-2</c:v>
                </c:pt>
                <c:pt idx="652">
                  <c:v>1.280282433145315E-2</c:v>
                </c:pt>
                <c:pt idx="653">
                  <c:v>6.0236087193300068E-3</c:v>
                </c:pt>
                <c:pt idx="654">
                  <c:v>8.1472914225421411E-2</c:v>
                </c:pt>
                <c:pt idx="655">
                  <c:v>5.6363130270401247E-2</c:v>
                </c:pt>
                <c:pt idx="656">
                  <c:v>4.1035093829517215E-3</c:v>
                </c:pt>
                <c:pt idx="657">
                  <c:v>2.0026755181284405E-3</c:v>
                </c:pt>
                <c:pt idx="658">
                  <c:v>3.1029192000013887E-3</c:v>
                </c:pt>
                <c:pt idx="659">
                  <c:v>2.8346953829898948E-4</c:v>
                </c:pt>
                <c:pt idx="660">
                  <c:v>0</c:v>
                </c:pt>
                <c:pt idx="661">
                  <c:v>2.5426238579299991E-3</c:v>
                </c:pt>
                <c:pt idx="662">
                  <c:v>6.8592330130358148E-3</c:v>
                </c:pt>
                <c:pt idx="663">
                  <c:v>1.1448879560172209E-3</c:v>
                </c:pt>
                <c:pt idx="664">
                  <c:v>4.1876531590976148E-3</c:v>
                </c:pt>
                <c:pt idx="665">
                  <c:v>2.6611910489996271E-3</c:v>
                </c:pt>
                <c:pt idx="666">
                  <c:v>8.7973606720249328E-3</c:v>
                </c:pt>
                <c:pt idx="667">
                  <c:v>0</c:v>
                </c:pt>
                <c:pt idx="668">
                  <c:v>1.0565520433165833E-2</c:v>
                </c:pt>
                <c:pt idx="669">
                  <c:v>1.3041194139607566E-2</c:v>
                </c:pt>
                <c:pt idx="670">
                  <c:v>1.9335714055276097E-2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1.913768103246604E-2</c:v>
                </c:pt>
                <c:pt idx="675">
                  <c:v>9.6802636844661347E-4</c:v>
                </c:pt>
                <c:pt idx="676">
                  <c:v>2.3214443421102435E-3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6-4BE8-B110-D8E92FBE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84184"/>
        <c:axId val="444384968"/>
      </c:scatterChart>
      <c:valAx>
        <c:axId val="444384184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4968"/>
        <c:crosses val="autoZero"/>
        <c:crossBetween val="midCat"/>
      </c:valAx>
      <c:valAx>
        <c:axId val="44438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 Leaves - Trial 1'!$K$1</c:f>
              <c:strCache>
                <c:ptCount val="1"/>
                <c:pt idx="0">
                  <c:v>% Infection per Rep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'Source Leaves - Trial 1'!$K$2:$K$697</c:f>
              <c:numCache>
                <c:formatCode>0.00%</c:formatCode>
                <c:ptCount val="696"/>
                <c:pt idx="0">
                  <c:v>2.6951849172367523E-2</c:v>
                </c:pt>
                <c:pt idx="27">
                  <c:v>2.9612195302100432E-2</c:v>
                </c:pt>
                <c:pt idx="54">
                  <c:v>2.9216432979253918E-2</c:v>
                </c:pt>
                <c:pt idx="81">
                  <c:v>2.6988963653195804E-2</c:v>
                </c:pt>
                <c:pt idx="108">
                  <c:v>3.1805668898968603E-2</c:v>
                </c:pt>
                <c:pt idx="135">
                  <c:v>1.5804352889728018E-2</c:v>
                </c:pt>
                <c:pt idx="162">
                  <c:v>1.6374621956304555E-2</c:v>
                </c:pt>
                <c:pt idx="189">
                  <c:v>2.3278856673813117E-2</c:v>
                </c:pt>
                <c:pt idx="216">
                  <c:v>1.8094283403614467E-2</c:v>
                </c:pt>
                <c:pt idx="243">
                  <c:v>1.7277792689619861E-2</c:v>
                </c:pt>
                <c:pt idx="270">
                  <c:v>2.9263695835921789E-2</c:v>
                </c:pt>
                <c:pt idx="297">
                  <c:v>2.3842411019946181E-2</c:v>
                </c:pt>
                <c:pt idx="324">
                  <c:v>4.2473912465945403E-2</c:v>
                </c:pt>
                <c:pt idx="351">
                  <c:v>1.8155802215180358E-2</c:v>
                </c:pt>
                <c:pt idx="378">
                  <c:v>3.1894245061719576E-2</c:v>
                </c:pt>
                <c:pt idx="405">
                  <c:v>2.6362051548168976E-2</c:v>
                </c:pt>
                <c:pt idx="432">
                  <c:v>3.5099953974942526E-2</c:v>
                </c:pt>
                <c:pt idx="458">
                  <c:v>1.8075629076209392E-2</c:v>
                </c:pt>
                <c:pt idx="485">
                  <c:v>2.1948159963856545E-2</c:v>
                </c:pt>
                <c:pt idx="512">
                  <c:v>3.0935771538747454E-2</c:v>
                </c:pt>
                <c:pt idx="539">
                  <c:v>4.9636906993826398E-2</c:v>
                </c:pt>
                <c:pt idx="566">
                  <c:v>1.6243196432448363E-2</c:v>
                </c:pt>
                <c:pt idx="593">
                  <c:v>2.6948593000564434E-2</c:v>
                </c:pt>
                <c:pt idx="620">
                  <c:v>2.2278223537073517E-2</c:v>
                </c:pt>
                <c:pt idx="650">
                  <c:v>1.086609306076816E-2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B-4314-908A-41A3B5789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90328"/>
        <c:axId val="444391896"/>
      </c:scatterChart>
      <c:valAx>
        <c:axId val="444390328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91896"/>
        <c:crosses val="autoZero"/>
        <c:crossBetween val="midCat"/>
      </c:valAx>
      <c:valAx>
        <c:axId val="44439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9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 Leaves - Trial 1'!$J$1</c:f>
              <c:strCache>
                <c:ptCount val="1"/>
                <c:pt idx="0">
                  <c:v>% Infection per Plant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'Source Leaves - Trial 1'!$J$2:$J$697</c:f>
              <c:numCache>
                <c:formatCode>0.00%</c:formatCode>
                <c:ptCount val="696"/>
                <c:pt idx="0">
                  <c:v>3.93418157141978E-2</c:v>
                </c:pt>
                <c:pt idx="9">
                  <c:v>9.9102378814552427E-3</c:v>
                </c:pt>
                <c:pt idx="18">
                  <c:v>3.1603493921449531E-2</c:v>
                </c:pt>
                <c:pt idx="27">
                  <c:v>3.8973771884028563E-3</c:v>
                </c:pt>
                <c:pt idx="36">
                  <c:v>4.3913525016329086E-2</c:v>
                </c:pt>
                <c:pt idx="45">
                  <c:v>4.1025683701569365E-2</c:v>
                </c:pt>
                <c:pt idx="54">
                  <c:v>5.494699506071575E-2</c:v>
                </c:pt>
                <c:pt idx="63">
                  <c:v>3.3637199969986848E-3</c:v>
                </c:pt>
                <c:pt idx="72">
                  <c:v>2.9338583880047325E-2</c:v>
                </c:pt>
                <c:pt idx="81">
                  <c:v>3.4050428132859599E-2</c:v>
                </c:pt>
                <c:pt idx="90">
                  <c:v>1.9423151245433656E-2</c:v>
                </c:pt>
                <c:pt idx="99">
                  <c:v>3.1276692484945225E-2</c:v>
                </c:pt>
                <c:pt idx="108">
                  <c:v>3.7183449208198785E-2</c:v>
                </c:pt>
                <c:pt idx="117">
                  <c:v>2.276991178065766E-2</c:v>
                </c:pt>
                <c:pt idx="126">
                  <c:v>3.7405365388681333E-2</c:v>
                </c:pt>
                <c:pt idx="135">
                  <c:v>8.7409375224943228E-3</c:v>
                </c:pt>
                <c:pt idx="144">
                  <c:v>3.3535689399693508E-2</c:v>
                </c:pt>
                <c:pt idx="153">
                  <c:v>4.744899768642747E-3</c:v>
                </c:pt>
                <c:pt idx="162">
                  <c:v>8.7894868162009619E-3</c:v>
                </c:pt>
                <c:pt idx="171">
                  <c:v>8.0119674705167298E-3</c:v>
                </c:pt>
                <c:pt idx="180">
                  <c:v>3.300867693226292E-2</c:v>
                </c:pt>
                <c:pt idx="189">
                  <c:v>3.1109202122544553E-2</c:v>
                </c:pt>
                <c:pt idx="198">
                  <c:v>1.278550756381451E-2</c:v>
                </c:pt>
                <c:pt idx="207">
                  <c:v>2.8991320897319952E-2</c:v>
                </c:pt>
                <c:pt idx="216">
                  <c:v>2.3355765057547613E-2</c:v>
                </c:pt>
                <c:pt idx="225">
                  <c:v>2.2007387608435763E-2</c:v>
                </c:pt>
                <c:pt idx="234">
                  <c:v>1.1514782551254189E-2</c:v>
                </c:pt>
                <c:pt idx="243">
                  <c:v>6.3299973725836501E-3</c:v>
                </c:pt>
                <c:pt idx="252">
                  <c:v>7.9950219189385083E-3</c:v>
                </c:pt>
                <c:pt idx="261">
                  <c:v>3.5763741540069553E-2</c:v>
                </c:pt>
                <c:pt idx="270">
                  <c:v>3.1846221895371021E-2</c:v>
                </c:pt>
                <c:pt idx="279">
                  <c:v>2.9218271815290584E-3</c:v>
                </c:pt>
                <c:pt idx="288">
                  <c:v>4.4360973583668688E-2</c:v>
                </c:pt>
                <c:pt idx="297">
                  <c:v>6.5343152964946341E-3</c:v>
                </c:pt>
                <c:pt idx="306">
                  <c:v>2.2424700131993592E-2</c:v>
                </c:pt>
                <c:pt idx="315">
                  <c:v>4.3189349363499489E-2</c:v>
                </c:pt>
                <c:pt idx="324">
                  <c:v>3.3868610143330306E-2</c:v>
                </c:pt>
                <c:pt idx="333">
                  <c:v>8.7264151288108383E-3</c:v>
                </c:pt>
                <c:pt idx="342">
                  <c:v>8.4826712125695078E-2</c:v>
                </c:pt>
                <c:pt idx="351">
                  <c:v>5.1079738808547451E-3</c:v>
                </c:pt>
                <c:pt idx="360">
                  <c:v>3.7322208007954848E-2</c:v>
                </c:pt>
                <c:pt idx="369">
                  <c:v>1.2037224756731496E-2</c:v>
                </c:pt>
                <c:pt idx="378">
                  <c:v>3.0557323236818049E-2</c:v>
                </c:pt>
                <c:pt idx="387">
                  <c:v>2.825343880289316E-2</c:v>
                </c:pt>
                <c:pt idx="396">
                  <c:v>3.6871973145447524E-2</c:v>
                </c:pt>
                <c:pt idx="405">
                  <c:v>1.9149262821183687E-2</c:v>
                </c:pt>
                <c:pt idx="414">
                  <c:v>1.7810918054683714E-2</c:v>
                </c:pt>
                <c:pt idx="423">
                  <c:v>4.2125973768639531E-2</c:v>
                </c:pt>
                <c:pt idx="432">
                  <c:v>2.775251376885237E-2</c:v>
                </c:pt>
                <c:pt idx="440">
                  <c:v>5.1922845308538357E-2</c:v>
                </c:pt>
                <c:pt idx="449">
                  <c:v>2.4808120602315735E-2</c:v>
                </c:pt>
                <c:pt idx="458">
                  <c:v>1.0170597354733808E-2</c:v>
                </c:pt>
                <c:pt idx="467">
                  <c:v>6.3231468782720514E-3</c:v>
                </c:pt>
                <c:pt idx="476">
                  <c:v>3.7733142995622311E-2</c:v>
                </c:pt>
                <c:pt idx="485">
                  <c:v>3.6227535022488244E-3</c:v>
                </c:pt>
                <c:pt idx="494">
                  <c:v>7.8818586906195861E-3</c:v>
                </c:pt>
                <c:pt idx="503">
                  <c:v>5.4339867698701229E-2</c:v>
                </c:pt>
                <c:pt idx="512">
                  <c:v>3.2582903419221862E-2</c:v>
                </c:pt>
                <c:pt idx="521">
                  <c:v>4.5012217072910317E-2</c:v>
                </c:pt>
                <c:pt idx="530">
                  <c:v>1.5212194124110175E-2</c:v>
                </c:pt>
                <c:pt idx="539">
                  <c:v>0.10602845407426652</c:v>
                </c:pt>
                <c:pt idx="548">
                  <c:v>3.6032847161898404E-2</c:v>
                </c:pt>
                <c:pt idx="557">
                  <c:v>6.8494197453142823E-3</c:v>
                </c:pt>
                <c:pt idx="566">
                  <c:v>3.7385514193675412E-3</c:v>
                </c:pt>
                <c:pt idx="575">
                  <c:v>2.7445083679463047E-2</c:v>
                </c:pt>
                <c:pt idx="584">
                  <c:v>1.7545954198514513E-2</c:v>
                </c:pt>
                <c:pt idx="593">
                  <c:v>1.5152699498531399E-2</c:v>
                </c:pt>
                <c:pt idx="602">
                  <c:v>4.7143651831696477E-2</c:v>
                </c:pt>
                <c:pt idx="611">
                  <c:v>1.8549427671465425E-2</c:v>
                </c:pt>
                <c:pt idx="620">
                  <c:v>4.1752616372354168E-2</c:v>
                </c:pt>
                <c:pt idx="629">
                  <c:v>1.0210826750002561E-2</c:v>
                </c:pt>
                <c:pt idx="641">
                  <c:v>1.1518983575391387E-2</c:v>
                </c:pt>
                <c:pt idx="650">
                  <c:v>2.239316811380708E-2</c:v>
                </c:pt>
                <c:pt idx="659">
                  <c:v>2.9418243606004666E-3</c:v>
                </c:pt>
                <c:pt idx="668">
                  <c:v>7.2632867078969328E-3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1-44BF-B08C-CEC2B703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19096"/>
        <c:axId val="548033816"/>
      </c:scatterChart>
      <c:valAx>
        <c:axId val="540119096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33816"/>
        <c:crosses val="autoZero"/>
        <c:crossBetween val="midCat"/>
      </c:valAx>
      <c:valAx>
        <c:axId val="54803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1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</a:t>
            </a:r>
          </a:p>
          <a:p>
            <a:pPr>
              <a:defRPr/>
            </a:pPr>
            <a:r>
              <a:rPr lang="en-US"/>
              <a:t>% Disease per Leaf:</a:t>
            </a:r>
            <a:r>
              <a:rPr lang="en-US" baseline="0"/>
              <a:t> Originally Inoculated vs. Not Originally Inoculated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</c:v>
              </c:pt>
              <c:pt idx="1">
                <c:v>Y</c:v>
              </c:pt>
            </c:strLit>
          </c:cat>
          <c:val>
            <c:numLit>
              <c:formatCode>General</c:formatCode>
              <c:ptCount val="2"/>
              <c:pt idx="0">
                <c:v>5.2224137931034479E-3</c:v>
              </c:pt>
              <c:pt idx="1">
                <c:v>3.2735714285714299E-2</c:v>
              </c:pt>
            </c:numLit>
          </c:val>
          <c:extLst>
            <c:ext xmlns:c16="http://schemas.microsoft.com/office/drawing/2014/chart" uri="{C3380CC4-5D6E-409C-BE32-E72D297353CC}">
              <c16:uniqueId val="{00000000-28F8-447B-ADD6-C93631F9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528672"/>
        <c:axId val="545775016"/>
      </c:barChart>
      <c:catAx>
        <c:axId val="5795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75016"/>
        <c:crosses val="autoZero"/>
        <c:auto val="1"/>
        <c:lblAlgn val="ctr"/>
        <c:lblOffset val="100"/>
        <c:noMultiLvlLbl val="0"/>
      </c:catAx>
      <c:valAx>
        <c:axId val="5457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2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123826</xdr:colOff>
      <xdr:row>14</xdr:row>
      <xdr:rowOff>104774</xdr:rowOff>
    </xdr:from>
    <xdr:to>
      <xdr:col>20</xdr:col>
      <xdr:colOff>142875</xdr:colOff>
      <xdr:row>32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161925</xdr:colOff>
      <xdr:row>1</xdr:row>
      <xdr:rowOff>47625</xdr:rowOff>
    </xdr:from>
    <xdr:to>
      <xdr:col>23</xdr:col>
      <xdr:colOff>314325</xdr:colOff>
      <xdr:row>14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128587</xdr:colOff>
      <xdr:row>1</xdr:row>
      <xdr:rowOff>47631</xdr:rowOff>
    </xdr:from>
    <xdr:to>
      <xdr:col>17</xdr:col>
      <xdr:colOff>104775</xdr:colOff>
      <xdr:row>14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200024</xdr:colOff>
      <xdr:row>14</xdr:row>
      <xdr:rowOff>85724</xdr:rowOff>
    </xdr:from>
    <xdr:to>
      <xdr:col>23</xdr:col>
      <xdr:colOff>409573</xdr:colOff>
      <xdr:row>32</xdr:row>
      <xdr:rowOff>171449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7"/>
  <sheetViews>
    <sheetView tabSelected="1" workbookViewId="0">
      <pane ySplit="1" topLeftCell="A2" activePane="bottomLeft" state="frozen"/>
      <selection pane="bottomLeft" activeCell="H1" sqref="H1:H1048576"/>
    </sheetView>
  </sheetViews>
  <sheetFormatPr defaultRowHeight="15" x14ac:dyDescent="0.25"/>
  <cols>
    <col min="1" max="1" width="12.7109375" style="12" customWidth="1"/>
    <col min="2" max="2" width="12.85546875" style="12" customWidth="1"/>
    <col min="3" max="3" width="4.7109375" style="12" bestFit="1" customWidth="1"/>
    <col min="4" max="4" width="10.7109375" style="12" customWidth="1"/>
    <col min="5" max="5" width="11.5703125" style="2" bestFit="1" customWidth="1"/>
    <col min="6" max="6" width="12.28515625" style="16" bestFit="1" customWidth="1"/>
    <col min="7" max="7" width="10.42578125" style="1" bestFit="1" customWidth="1"/>
    <col min="8" max="8" width="14.42578125" style="30" bestFit="1" customWidth="1"/>
    <col min="9" max="9" width="12.42578125" style="1" bestFit="1" customWidth="1"/>
    <col min="10" max="11" width="12" style="12" bestFit="1" customWidth="1"/>
  </cols>
  <sheetData>
    <row r="1" spans="1:11" ht="47.25" x14ac:dyDescent="0.25">
      <c r="A1" s="10" t="s">
        <v>88</v>
      </c>
      <c r="B1" s="20" t="s">
        <v>90</v>
      </c>
      <c r="C1" s="18" t="s">
        <v>84</v>
      </c>
      <c r="D1" s="10" t="s">
        <v>89</v>
      </c>
      <c r="E1" s="11" t="s">
        <v>91</v>
      </c>
      <c r="F1" s="15" t="s">
        <v>92</v>
      </c>
      <c r="G1" s="9" t="s">
        <v>82</v>
      </c>
      <c r="H1" s="29" t="s">
        <v>93</v>
      </c>
      <c r="I1" s="21" t="s">
        <v>85</v>
      </c>
      <c r="J1" s="8" t="s">
        <v>83</v>
      </c>
      <c r="K1" s="8" t="s">
        <v>17</v>
      </c>
    </row>
    <row r="2" spans="1:11" x14ac:dyDescent="0.25">
      <c r="A2" s="12" t="s">
        <v>81</v>
      </c>
      <c r="B2" s="12">
        <v>5</v>
      </c>
      <c r="C2" s="12">
        <v>1</v>
      </c>
      <c r="D2" s="12">
        <v>1.1000000000000001</v>
      </c>
      <c r="E2" s="2">
        <v>675349</v>
      </c>
      <c r="F2" s="16">
        <v>33168</v>
      </c>
      <c r="G2" s="1">
        <f t="shared" ref="G2:G65" si="0">F2/E2</f>
        <v>4.9112384855830096E-2</v>
      </c>
      <c r="H2" s="23">
        <f>(SUM(F2:F4))/SUM(E2:E4)</f>
        <v>4.7032193762263662E-2</v>
      </c>
      <c r="I2" s="22" t="s">
        <v>87</v>
      </c>
      <c r="J2" s="23">
        <f>AVERAGE(G2:G10)</f>
        <v>3.93418157141978E-2</v>
      </c>
      <c r="K2" s="23">
        <f>AVERAGE(G2:G28)</f>
        <v>2.6951849172367523E-2</v>
      </c>
    </row>
    <row r="3" spans="1:11" x14ac:dyDescent="0.25">
      <c r="A3" s="12" t="s">
        <v>81</v>
      </c>
      <c r="B3" s="12">
        <v>5</v>
      </c>
      <c r="C3" s="12">
        <v>1</v>
      </c>
      <c r="D3" s="12">
        <v>1.2</v>
      </c>
      <c r="E3" s="2">
        <v>1468270</v>
      </c>
      <c r="F3" s="16">
        <f>30743+1492</f>
        <v>32235</v>
      </c>
      <c r="G3" s="1">
        <f t="shared" si="0"/>
        <v>2.1954408930237628E-2</v>
      </c>
      <c r="H3" s="23"/>
      <c r="I3" s="22"/>
      <c r="J3" s="23"/>
      <c r="K3" s="23"/>
    </row>
    <row r="4" spans="1:11" x14ac:dyDescent="0.25">
      <c r="A4" s="12" t="s">
        <v>81</v>
      </c>
      <c r="B4" s="12">
        <v>5</v>
      </c>
      <c r="C4" s="12">
        <v>1</v>
      </c>
      <c r="D4" s="12">
        <v>1.3</v>
      </c>
      <c r="E4" s="2">
        <v>1191437</v>
      </c>
      <c r="F4" s="16">
        <f>74169+17283</f>
        <v>91452</v>
      </c>
      <c r="G4" s="1">
        <f t="shared" si="0"/>
        <v>7.6757730370972194E-2</v>
      </c>
      <c r="H4" s="23"/>
      <c r="I4" s="22"/>
      <c r="J4" s="23"/>
      <c r="K4" s="23"/>
    </row>
    <row r="5" spans="1:11" x14ac:dyDescent="0.25">
      <c r="A5" s="12" t="s">
        <v>81</v>
      </c>
      <c r="B5" s="12">
        <v>5</v>
      </c>
      <c r="C5" s="12">
        <v>1</v>
      </c>
      <c r="D5" s="12">
        <v>2.1</v>
      </c>
      <c r="E5" s="2">
        <v>2490698</v>
      </c>
      <c r="F5" s="16">
        <v>145622</v>
      </c>
      <c r="G5" s="1">
        <f t="shared" si="0"/>
        <v>5.8466341563690176E-2</v>
      </c>
      <c r="H5" s="23">
        <f>(SUM(F5:F7))/SUM(E5:E7)</f>
        <v>4.6687356669823425E-2</v>
      </c>
      <c r="I5" s="22" t="s">
        <v>87</v>
      </c>
      <c r="J5" s="23"/>
      <c r="K5" s="23"/>
    </row>
    <row r="6" spans="1:11" x14ac:dyDescent="0.25">
      <c r="A6" s="12" t="s">
        <v>81</v>
      </c>
      <c r="B6" s="12">
        <v>5</v>
      </c>
      <c r="C6" s="12">
        <v>1</v>
      </c>
      <c r="D6" s="12">
        <v>2.2000000000000002</v>
      </c>
      <c r="E6" s="2">
        <v>2547032</v>
      </c>
      <c r="F6" s="16">
        <v>97181</v>
      </c>
      <c r="G6" s="1">
        <f t="shared" si="0"/>
        <v>3.815460504618709E-2</v>
      </c>
      <c r="H6" s="23"/>
      <c r="I6" s="22"/>
      <c r="J6" s="23"/>
      <c r="K6" s="23"/>
    </row>
    <row r="7" spans="1:11" x14ac:dyDescent="0.25">
      <c r="A7" s="12" t="s">
        <v>81</v>
      </c>
      <c r="B7" s="12">
        <v>5</v>
      </c>
      <c r="C7" s="12">
        <v>1</v>
      </c>
      <c r="D7" s="12">
        <v>2.2999999999999998</v>
      </c>
      <c r="E7" s="2">
        <v>2103561</v>
      </c>
      <c r="F7" s="16">
        <v>90605</v>
      </c>
      <c r="G7" s="1">
        <f t="shared" si="0"/>
        <v>4.3072199950464948E-2</v>
      </c>
      <c r="H7" s="23"/>
      <c r="I7" s="22"/>
      <c r="J7" s="23"/>
      <c r="K7" s="23"/>
    </row>
    <row r="8" spans="1:11" x14ac:dyDescent="0.25">
      <c r="A8" s="12" t="s">
        <v>81</v>
      </c>
      <c r="B8" s="12">
        <v>5</v>
      </c>
      <c r="C8" s="12">
        <v>1</v>
      </c>
      <c r="D8" s="12">
        <v>3.1</v>
      </c>
      <c r="E8" s="2">
        <v>762945</v>
      </c>
      <c r="F8" s="16">
        <f>15716+2389</f>
        <v>18105</v>
      </c>
      <c r="G8" s="1">
        <f t="shared" si="0"/>
        <v>2.3730413070404813E-2</v>
      </c>
      <c r="H8" s="23">
        <f t="shared" ref="H8" si="1">(SUM(F8:F10))/SUM(E8:E10)</f>
        <v>2.2148912128047669E-2</v>
      </c>
      <c r="I8" s="22" t="s">
        <v>87</v>
      </c>
      <c r="J8" s="23"/>
      <c r="K8" s="23"/>
    </row>
    <row r="9" spans="1:11" x14ac:dyDescent="0.25">
      <c r="A9" s="12" t="s">
        <v>81</v>
      </c>
      <c r="B9" s="12">
        <v>5</v>
      </c>
      <c r="C9" s="12">
        <v>1</v>
      </c>
      <c r="D9" s="12">
        <v>3.2</v>
      </c>
      <c r="E9" s="2">
        <v>820187</v>
      </c>
      <c r="F9" s="16">
        <v>16935</v>
      </c>
      <c r="G9" s="1">
        <f t="shared" si="0"/>
        <v>2.0647730334667581E-2</v>
      </c>
      <c r="H9" s="23"/>
      <c r="I9" s="22"/>
      <c r="J9" s="23"/>
      <c r="K9" s="23"/>
    </row>
    <row r="10" spans="1:11" x14ac:dyDescent="0.25">
      <c r="A10" s="12" t="s">
        <v>81</v>
      </c>
      <c r="B10" s="12">
        <v>5</v>
      </c>
      <c r="C10" s="12">
        <v>1</v>
      </c>
      <c r="D10" s="12">
        <v>3.3</v>
      </c>
      <c r="E10" s="2">
        <v>779738</v>
      </c>
      <c r="F10" s="16">
        <v>17295</v>
      </c>
      <c r="G10" s="1">
        <f t="shared" si="0"/>
        <v>2.2180527305325635E-2</v>
      </c>
      <c r="H10" s="23"/>
      <c r="I10" s="22"/>
      <c r="J10" s="23"/>
      <c r="K10" s="23"/>
    </row>
    <row r="11" spans="1:11" x14ac:dyDescent="0.25">
      <c r="A11" s="12" t="s">
        <v>79</v>
      </c>
      <c r="B11" s="12">
        <v>5</v>
      </c>
      <c r="C11" s="12">
        <v>1</v>
      </c>
      <c r="D11" s="12">
        <v>1.1000000000000001</v>
      </c>
      <c r="E11" s="2">
        <v>1397860</v>
      </c>
      <c r="F11" s="16">
        <v>40876</v>
      </c>
      <c r="G11" s="1">
        <f t="shared" si="0"/>
        <v>2.9241841099967091E-2</v>
      </c>
      <c r="H11" s="23">
        <f t="shared" ref="H11" si="2">(SUM(F11:F13))/SUM(E11:E13)</f>
        <v>1.6182021348241003E-2</v>
      </c>
      <c r="I11" s="22" t="s">
        <v>87</v>
      </c>
      <c r="J11" s="23">
        <f>AVERAGE(G11:G19)</f>
        <v>9.9102378814552427E-3</v>
      </c>
      <c r="K11" s="23"/>
    </row>
    <row r="12" spans="1:11" x14ac:dyDescent="0.25">
      <c r="A12" s="12" t="s">
        <v>79</v>
      </c>
      <c r="B12" s="12">
        <v>5</v>
      </c>
      <c r="C12" s="12">
        <v>1</v>
      </c>
      <c r="D12" s="12">
        <v>1.2</v>
      </c>
      <c r="E12" s="2">
        <v>1276051</v>
      </c>
      <c r="F12" s="16">
        <v>24203</v>
      </c>
      <c r="G12" s="1">
        <f t="shared" si="0"/>
        <v>1.8967110248728304E-2</v>
      </c>
      <c r="H12" s="23"/>
      <c r="I12" s="22"/>
      <c r="J12" s="23"/>
      <c r="K12" s="23"/>
    </row>
    <row r="13" spans="1:11" x14ac:dyDescent="0.25">
      <c r="A13" s="12" t="s">
        <v>79</v>
      </c>
      <c r="B13" s="12">
        <v>5</v>
      </c>
      <c r="C13" s="12">
        <v>1</v>
      </c>
      <c r="D13" s="12">
        <v>1.3</v>
      </c>
      <c r="E13" s="2">
        <v>1569811</v>
      </c>
      <c r="F13" s="16">
        <v>3593</v>
      </c>
      <c r="G13" s="1">
        <f t="shared" si="0"/>
        <v>2.288810563819466E-3</v>
      </c>
      <c r="H13" s="23"/>
      <c r="I13" s="22"/>
      <c r="J13" s="23"/>
      <c r="K13" s="23"/>
    </row>
    <row r="14" spans="1:11" x14ac:dyDescent="0.25">
      <c r="A14" s="12" t="s">
        <v>79</v>
      </c>
      <c r="B14" s="12">
        <v>5</v>
      </c>
      <c r="C14" s="12">
        <v>1</v>
      </c>
      <c r="D14" s="12">
        <v>2.1</v>
      </c>
      <c r="E14" s="2">
        <v>549639</v>
      </c>
      <c r="F14" s="16">
        <f>2822+7435</f>
        <v>10257</v>
      </c>
      <c r="G14" s="1">
        <f t="shared" si="0"/>
        <v>1.866133953376671E-2</v>
      </c>
      <c r="H14" s="23">
        <f t="shared" ref="H14" si="3">(SUM(F14:F16))/SUM(E14:E16)</f>
        <v>1.0933846322940709E-2</v>
      </c>
      <c r="I14" s="22" t="s">
        <v>87</v>
      </c>
      <c r="J14" s="23"/>
      <c r="K14" s="23"/>
    </row>
    <row r="15" spans="1:11" x14ac:dyDescent="0.25">
      <c r="A15" s="12" t="s">
        <v>79</v>
      </c>
      <c r="B15" s="12">
        <v>5</v>
      </c>
      <c r="C15" s="12">
        <v>1</v>
      </c>
      <c r="D15" s="12">
        <v>2.2000000000000002</v>
      </c>
      <c r="E15" s="2">
        <v>590744</v>
      </c>
      <c r="F15" s="16">
        <f>1123+6387</f>
        <v>7510</v>
      </c>
      <c r="G15" s="1">
        <f t="shared" si="0"/>
        <v>1.2712782525087009E-2</v>
      </c>
      <c r="H15" s="23"/>
      <c r="I15" s="22"/>
      <c r="J15" s="23"/>
      <c r="K15" s="23"/>
    </row>
    <row r="16" spans="1:11" x14ac:dyDescent="0.25">
      <c r="A16" s="12" t="s">
        <v>79</v>
      </c>
      <c r="B16" s="12">
        <v>5</v>
      </c>
      <c r="C16" s="12">
        <v>1</v>
      </c>
      <c r="D16" s="12">
        <v>2.2999999999999998</v>
      </c>
      <c r="E16" s="2">
        <v>779344</v>
      </c>
      <c r="F16" s="16">
        <f>1007+1512+704</f>
        <v>3223</v>
      </c>
      <c r="G16" s="1">
        <f t="shared" si="0"/>
        <v>4.1355293682892279E-3</v>
      </c>
      <c r="H16" s="23"/>
      <c r="I16" s="22"/>
      <c r="J16" s="23"/>
      <c r="K16" s="23"/>
    </row>
    <row r="17" spans="1:11" x14ac:dyDescent="0.25">
      <c r="A17" s="12" t="s">
        <v>79</v>
      </c>
      <c r="B17" s="12">
        <v>5</v>
      </c>
      <c r="C17" s="12">
        <v>1</v>
      </c>
      <c r="D17" s="12">
        <v>3.1</v>
      </c>
      <c r="E17" s="2">
        <v>1224265</v>
      </c>
      <c r="F17" s="16">
        <v>139</v>
      </c>
      <c r="G17" s="1">
        <f t="shared" si="0"/>
        <v>1.1353751026125879E-4</v>
      </c>
      <c r="H17" s="23">
        <f t="shared" ref="H17" si="4">(SUM(F17:F19))/SUM(E17:E19)</f>
        <v>1.3262812752670207E-3</v>
      </c>
      <c r="I17" s="22" t="s">
        <v>86</v>
      </c>
      <c r="J17" s="23"/>
      <c r="K17" s="23"/>
    </row>
    <row r="18" spans="1:11" x14ac:dyDescent="0.25">
      <c r="A18" s="12" t="s">
        <v>79</v>
      </c>
      <c r="B18" s="12">
        <v>5</v>
      </c>
      <c r="C18" s="12">
        <v>1</v>
      </c>
      <c r="D18" s="12">
        <v>3.2</v>
      </c>
      <c r="E18" s="2">
        <v>1328843</v>
      </c>
      <c r="F18" s="16">
        <v>246</v>
      </c>
      <c r="G18" s="1">
        <f t="shared" si="0"/>
        <v>1.8512344949704368E-4</v>
      </c>
      <c r="H18" s="23"/>
      <c r="I18" s="22"/>
      <c r="J18" s="23"/>
      <c r="K18" s="23"/>
    </row>
    <row r="19" spans="1:11" x14ac:dyDescent="0.25">
      <c r="A19" s="12" t="s">
        <v>79</v>
      </c>
      <c r="B19" s="12">
        <v>5</v>
      </c>
      <c r="C19" s="12">
        <v>1</v>
      </c>
      <c r="D19" s="12">
        <v>3.3</v>
      </c>
      <c r="E19" s="2">
        <v>1924072</v>
      </c>
      <c r="F19" s="16">
        <f>5271+282</f>
        <v>5553</v>
      </c>
      <c r="G19" s="1">
        <f t="shared" si="0"/>
        <v>2.8860666336810682E-3</v>
      </c>
      <c r="H19" s="23"/>
      <c r="I19" s="22"/>
      <c r="J19" s="23"/>
      <c r="K19" s="23"/>
    </row>
    <row r="20" spans="1:11" x14ac:dyDescent="0.25">
      <c r="A20" s="12" t="s">
        <v>80</v>
      </c>
      <c r="B20" s="12">
        <v>5</v>
      </c>
      <c r="C20" s="12">
        <v>1</v>
      </c>
      <c r="D20" s="12">
        <v>1.1000000000000001</v>
      </c>
      <c r="E20" s="2">
        <v>621128</v>
      </c>
      <c r="F20" s="16">
        <v>16166</v>
      </c>
      <c r="G20" s="1">
        <f t="shared" si="0"/>
        <v>2.6026841488388866E-2</v>
      </c>
      <c r="H20" s="23">
        <f t="shared" ref="H20" si="5">(SUM(F20:F22))/SUM(E20:E22)</f>
        <v>9.6064595950121449E-3</v>
      </c>
      <c r="I20" s="22" t="s">
        <v>86</v>
      </c>
      <c r="J20" s="23">
        <f>AVERAGE(G20:G28)</f>
        <v>3.1603493921449531E-2</v>
      </c>
      <c r="K20" s="23"/>
    </row>
    <row r="21" spans="1:11" x14ac:dyDescent="0.25">
      <c r="A21" s="12" t="s">
        <v>80</v>
      </c>
      <c r="B21" s="12">
        <v>5</v>
      </c>
      <c r="C21" s="12">
        <v>1</v>
      </c>
      <c r="D21" s="12">
        <v>1.2</v>
      </c>
      <c r="E21" s="2">
        <v>953946</v>
      </c>
      <c r="F21" s="16">
        <v>5389</v>
      </c>
      <c r="G21" s="1">
        <f t="shared" si="0"/>
        <v>5.6491667243219216E-3</v>
      </c>
      <c r="H21" s="23"/>
      <c r="I21" s="22"/>
      <c r="J21" s="23"/>
      <c r="K21" s="23"/>
    </row>
    <row r="22" spans="1:11" x14ac:dyDescent="0.25">
      <c r="A22" s="12" t="s">
        <v>80</v>
      </c>
      <c r="B22" s="12">
        <v>5</v>
      </c>
      <c r="C22" s="12">
        <v>1</v>
      </c>
      <c r="D22" s="12">
        <v>1.3</v>
      </c>
      <c r="E22" s="2">
        <v>1084907</v>
      </c>
      <c r="F22" s="16">
        <v>3998</v>
      </c>
      <c r="G22" s="1">
        <f t="shared" si="0"/>
        <v>3.6851084931703824E-3</v>
      </c>
      <c r="H22" s="23"/>
      <c r="I22" s="22"/>
      <c r="J22" s="23"/>
      <c r="K22" s="23"/>
    </row>
    <row r="23" spans="1:11" x14ac:dyDescent="0.25">
      <c r="A23" s="12" t="s">
        <v>80</v>
      </c>
      <c r="B23" s="12">
        <v>5</v>
      </c>
      <c r="C23" s="12">
        <v>1</v>
      </c>
      <c r="D23" s="12">
        <v>2.1</v>
      </c>
      <c r="E23" s="2">
        <v>910411</v>
      </c>
      <c r="F23" s="16">
        <v>60684</v>
      </c>
      <c r="G23" s="1">
        <f t="shared" si="0"/>
        <v>6.6655609389605353E-2</v>
      </c>
      <c r="H23" s="23">
        <f t="shared" ref="H23" si="6">(SUM(F23:F25))/SUM(E23:E25)</f>
        <v>3.8394791698756453E-2</v>
      </c>
      <c r="I23" s="22" t="s">
        <v>87</v>
      </c>
      <c r="J23" s="23"/>
      <c r="K23" s="23"/>
    </row>
    <row r="24" spans="1:11" x14ac:dyDescent="0.25">
      <c r="A24" s="12" t="s">
        <v>80</v>
      </c>
      <c r="B24" s="12">
        <v>5</v>
      </c>
      <c r="C24" s="12">
        <v>1</v>
      </c>
      <c r="D24" s="12">
        <v>2.2000000000000002</v>
      </c>
      <c r="E24" s="2">
        <v>620991</v>
      </c>
      <c r="F24" s="16">
        <v>17420</v>
      </c>
      <c r="G24" s="1">
        <f t="shared" si="0"/>
        <v>2.8051936340462262E-2</v>
      </c>
      <c r="H24" s="23"/>
      <c r="I24" s="22"/>
      <c r="J24" s="23"/>
      <c r="K24" s="23"/>
    </row>
    <row r="25" spans="1:11" x14ac:dyDescent="0.25">
      <c r="A25" s="12" t="s">
        <v>80</v>
      </c>
      <c r="B25" s="12">
        <v>5</v>
      </c>
      <c r="C25" s="12">
        <v>1</v>
      </c>
      <c r="D25" s="12">
        <v>2.2999999999999998</v>
      </c>
      <c r="E25" s="2">
        <v>708407</v>
      </c>
      <c r="F25" s="16">
        <f>4922+2971</f>
        <v>7893</v>
      </c>
      <c r="G25" s="1">
        <f t="shared" si="0"/>
        <v>1.1141900065922555E-2</v>
      </c>
      <c r="H25" s="23"/>
      <c r="I25" s="22"/>
      <c r="J25" s="23"/>
      <c r="K25" s="23"/>
    </row>
    <row r="26" spans="1:11" x14ac:dyDescent="0.25">
      <c r="A26" s="12" t="s">
        <v>80</v>
      </c>
      <c r="B26" s="12">
        <v>5</v>
      </c>
      <c r="C26" s="12">
        <v>1</v>
      </c>
      <c r="D26" s="12">
        <v>3.1</v>
      </c>
      <c r="E26" s="2">
        <v>1739374</v>
      </c>
      <c r="F26" s="16">
        <v>94798</v>
      </c>
      <c r="G26" s="1">
        <f t="shared" si="0"/>
        <v>5.450121710454451E-2</v>
      </c>
      <c r="H26" s="23">
        <f t="shared" ref="H26" si="7">(SUM(F26:F28))/SUM(E26:E28)</f>
        <v>4.7538102634663619E-2</v>
      </c>
      <c r="I26" s="22" t="s">
        <v>87</v>
      </c>
      <c r="J26" s="23"/>
      <c r="K26" s="23"/>
    </row>
    <row r="27" spans="1:11" x14ac:dyDescent="0.25">
      <c r="A27" s="12" t="s">
        <v>80</v>
      </c>
      <c r="B27" s="12">
        <v>5</v>
      </c>
      <c r="C27" s="12">
        <v>1</v>
      </c>
      <c r="D27" s="12">
        <v>3.2</v>
      </c>
      <c r="E27" s="2">
        <v>2060694</v>
      </c>
      <c r="F27" s="16">
        <v>103520</v>
      </c>
      <c r="G27" s="1">
        <f t="shared" si="0"/>
        <v>5.0235503184849373E-2</v>
      </c>
      <c r="H27" s="23"/>
      <c r="I27" s="22"/>
      <c r="J27" s="23"/>
      <c r="K27" s="23"/>
    </row>
    <row r="28" spans="1:11" x14ac:dyDescent="0.25">
      <c r="A28" s="12" t="s">
        <v>80</v>
      </c>
      <c r="B28" s="12">
        <v>5</v>
      </c>
      <c r="C28" s="12">
        <v>1</v>
      </c>
      <c r="D28" s="12">
        <v>3.3</v>
      </c>
      <c r="E28" s="2">
        <v>1951634</v>
      </c>
      <c r="F28" s="16">
        <v>75107</v>
      </c>
      <c r="G28" s="1">
        <f t="shared" si="0"/>
        <v>3.8484162501780557E-2</v>
      </c>
      <c r="H28" s="23"/>
      <c r="I28" s="22"/>
      <c r="J28" s="23"/>
      <c r="K28" s="23"/>
    </row>
    <row r="29" spans="1:11" x14ac:dyDescent="0.25">
      <c r="A29" s="12" t="s">
        <v>9</v>
      </c>
      <c r="B29" s="12">
        <v>10</v>
      </c>
      <c r="C29" s="12">
        <v>1</v>
      </c>
      <c r="D29" s="12">
        <v>1.1000000000000001</v>
      </c>
      <c r="E29" s="2">
        <v>2790115</v>
      </c>
      <c r="F29" s="16">
        <v>8783</v>
      </c>
      <c r="G29" s="1">
        <f t="shared" si="0"/>
        <v>3.1478989217290326E-3</v>
      </c>
      <c r="H29" s="23">
        <f t="shared" ref="H29" si="8">(SUM(F29:F31))/SUM(E29:E31)</f>
        <v>2.5537971149939432E-3</v>
      </c>
      <c r="I29" s="22" t="s">
        <v>87</v>
      </c>
      <c r="J29" s="23">
        <f>AVERAGE(G29:G37)</f>
        <v>3.8973771884028563E-3</v>
      </c>
      <c r="K29" s="23">
        <f>AVERAGE(G29:G55)</f>
        <v>2.9612195302100432E-2</v>
      </c>
    </row>
    <row r="30" spans="1:11" x14ac:dyDescent="0.25">
      <c r="A30" s="12" t="s">
        <v>9</v>
      </c>
      <c r="B30" s="12">
        <v>10</v>
      </c>
      <c r="C30" s="12">
        <v>1</v>
      </c>
      <c r="D30" s="12">
        <v>1.2</v>
      </c>
      <c r="E30" s="2">
        <v>2709052</v>
      </c>
      <c r="F30" s="16">
        <v>9593</v>
      </c>
      <c r="G30" s="1">
        <f t="shared" si="0"/>
        <v>3.541091127080617E-3</v>
      </c>
      <c r="H30" s="23"/>
      <c r="I30" s="22"/>
      <c r="J30" s="23"/>
      <c r="K30" s="23"/>
    </row>
    <row r="31" spans="1:11" x14ac:dyDescent="0.25">
      <c r="A31" s="12" t="s">
        <v>9</v>
      </c>
      <c r="B31" s="12">
        <v>10</v>
      </c>
      <c r="C31" s="12">
        <v>1</v>
      </c>
      <c r="D31" s="12">
        <v>1.3</v>
      </c>
      <c r="E31" s="2">
        <v>3026569</v>
      </c>
      <c r="F31" s="16">
        <v>3397</v>
      </c>
      <c r="G31" s="1">
        <f t="shared" si="0"/>
        <v>1.1223930463835452E-3</v>
      </c>
      <c r="H31" s="23"/>
      <c r="I31" s="22"/>
      <c r="J31" s="23"/>
      <c r="K31" s="23"/>
    </row>
    <row r="32" spans="1:11" x14ac:dyDescent="0.25">
      <c r="A32" s="12" t="s">
        <v>9</v>
      </c>
      <c r="B32" s="12">
        <v>10</v>
      </c>
      <c r="C32" s="12">
        <v>1</v>
      </c>
      <c r="D32" s="13">
        <v>2.1</v>
      </c>
      <c r="E32" s="2">
        <v>1571529</v>
      </c>
      <c r="F32" s="16">
        <v>26766</v>
      </c>
      <c r="G32" s="1">
        <f t="shared" si="0"/>
        <v>1.7031820602737842E-2</v>
      </c>
      <c r="H32" s="23">
        <f t="shared" ref="H32" si="9">(SUM(F32:F34))/SUM(E32:E34)</f>
        <v>2.5963206398427058E-3</v>
      </c>
      <c r="I32" s="22" t="s">
        <v>87</v>
      </c>
      <c r="J32" s="23"/>
      <c r="K32" s="23"/>
    </row>
    <row r="33" spans="1:11" x14ac:dyDescent="0.25">
      <c r="A33" s="12" t="s">
        <v>9</v>
      </c>
      <c r="B33" s="12">
        <v>10</v>
      </c>
      <c r="C33" s="12">
        <v>1</v>
      </c>
      <c r="D33" s="14">
        <v>2.2000000000000002</v>
      </c>
      <c r="E33" s="2">
        <v>1488442</v>
      </c>
      <c r="F33" s="16">
        <v>7901</v>
      </c>
      <c r="G33" s="1">
        <f t="shared" si="0"/>
        <v>5.3082350538348148E-3</v>
      </c>
      <c r="H33" s="23"/>
      <c r="I33" s="22"/>
      <c r="J33" s="23"/>
      <c r="K33" s="23"/>
    </row>
    <row r="34" spans="1:11" x14ac:dyDescent="0.25">
      <c r="A34" s="12" t="s">
        <v>9</v>
      </c>
      <c r="B34" s="12">
        <v>10</v>
      </c>
      <c r="C34" s="12">
        <v>1</v>
      </c>
      <c r="D34" s="14">
        <v>2.2999999999999998</v>
      </c>
      <c r="E34" s="2">
        <v>12661893</v>
      </c>
      <c r="F34" s="16">
        <v>6152</v>
      </c>
      <c r="G34" s="1">
        <f t="shared" si="0"/>
        <v>4.8586731857550844E-4</v>
      </c>
      <c r="H34" s="23"/>
      <c r="I34" s="22"/>
      <c r="J34" s="23"/>
      <c r="K34" s="23"/>
    </row>
    <row r="35" spans="1:11" x14ac:dyDescent="0.25">
      <c r="A35" s="12" t="s">
        <v>9</v>
      </c>
      <c r="B35" s="12">
        <v>10</v>
      </c>
      <c r="C35" s="12">
        <v>1</v>
      </c>
      <c r="D35" s="12">
        <v>3.1</v>
      </c>
      <c r="E35" s="2">
        <v>1152428</v>
      </c>
      <c r="F35" s="16">
        <v>968</v>
      </c>
      <c r="G35" s="1">
        <f t="shared" si="0"/>
        <v>8.3996570718517774E-4</v>
      </c>
      <c r="H35" s="23">
        <f t="shared" ref="H35" si="10">(SUM(F35:F37))/SUM(E35:E37)</f>
        <v>1.3841368860795292E-3</v>
      </c>
      <c r="I35" s="22" t="s">
        <v>87</v>
      </c>
      <c r="J35" s="23"/>
      <c r="K35" s="23"/>
    </row>
    <row r="36" spans="1:11" x14ac:dyDescent="0.25">
      <c r="A36" s="12" t="s">
        <v>9</v>
      </c>
      <c r="B36" s="12">
        <v>10</v>
      </c>
      <c r="C36" s="12">
        <v>1</v>
      </c>
      <c r="D36" s="12">
        <v>3.2</v>
      </c>
      <c r="E36" s="2">
        <v>942212</v>
      </c>
      <c r="F36" s="16">
        <v>2514</v>
      </c>
      <c r="G36" s="1">
        <f t="shared" si="0"/>
        <v>2.6681893246955036E-3</v>
      </c>
      <c r="H36" s="23"/>
      <c r="I36" s="22"/>
      <c r="J36" s="23"/>
      <c r="K36" s="23"/>
    </row>
    <row r="37" spans="1:11" x14ac:dyDescent="0.25">
      <c r="A37" s="12" t="s">
        <v>9</v>
      </c>
      <c r="B37" s="12">
        <v>10</v>
      </c>
      <c r="C37" s="12">
        <v>1</v>
      </c>
      <c r="D37" s="12">
        <v>3.3</v>
      </c>
      <c r="E37" s="2">
        <v>1285806</v>
      </c>
      <c r="F37" s="16">
        <v>1197</v>
      </c>
      <c r="G37" s="1">
        <f t="shared" si="0"/>
        <v>9.3093359340367049E-4</v>
      </c>
      <c r="H37" s="23"/>
      <c r="I37" s="22"/>
      <c r="J37" s="23"/>
      <c r="K37" s="23"/>
    </row>
    <row r="38" spans="1:11" x14ac:dyDescent="0.25">
      <c r="A38" s="12" t="s">
        <v>10</v>
      </c>
      <c r="B38" s="12">
        <v>10</v>
      </c>
      <c r="C38" s="12">
        <v>1</v>
      </c>
      <c r="D38" s="12">
        <v>1.1000000000000001</v>
      </c>
      <c r="E38" s="2">
        <v>1548678</v>
      </c>
      <c r="F38" s="16">
        <v>44226</v>
      </c>
      <c r="G38" s="1">
        <f t="shared" si="0"/>
        <v>2.8557259804814172E-2</v>
      </c>
      <c r="H38" s="23">
        <f t="shared" ref="H38" si="11">(SUM(F38:F40))/SUM(E38:E40)</f>
        <v>1.680698029832298E-2</v>
      </c>
      <c r="I38" s="22" t="s">
        <v>86</v>
      </c>
      <c r="J38" s="23">
        <f>AVERAGE(G38:G46)</f>
        <v>4.3913525016329086E-2</v>
      </c>
      <c r="K38" s="23"/>
    </row>
    <row r="39" spans="1:11" x14ac:dyDescent="0.25">
      <c r="A39" s="12" t="s">
        <v>10</v>
      </c>
      <c r="B39" s="12">
        <v>10</v>
      </c>
      <c r="C39" s="12">
        <v>1</v>
      </c>
      <c r="D39" s="12">
        <v>1.2</v>
      </c>
      <c r="E39" s="2">
        <v>1658092</v>
      </c>
      <c r="F39" s="16">
        <v>4341</v>
      </c>
      <c r="G39" s="1">
        <f t="shared" si="0"/>
        <v>2.6180694436738132E-3</v>
      </c>
      <c r="H39" s="23"/>
      <c r="I39" s="22"/>
      <c r="J39" s="23"/>
      <c r="K39" s="23"/>
    </row>
    <row r="40" spans="1:11" x14ac:dyDescent="0.25">
      <c r="A40" s="12" t="s">
        <v>10</v>
      </c>
      <c r="B40" s="12">
        <v>10</v>
      </c>
      <c r="C40" s="12">
        <v>1</v>
      </c>
      <c r="D40" s="12">
        <v>1.3</v>
      </c>
      <c r="E40" s="2">
        <v>1686316</v>
      </c>
      <c r="F40" s="16">
        <v>33671</v>
      </c>
      <c r="G40" s="1">
        <f t="shared" si="0"/>
        <v>1.9967194760649842E-2</v>
      </c>
      <c r="H40" s="23"/>
      <c r="I40" s="22"/>
      <c r="J40" s="23"/>
      <c r="K40" s="23"/>
    </row>
    <row r="41" spans="1:11" x14ac:dyDescent="0.25">
      <c r="A41" s="12" t="s">
        <v>10</v>
      </c>
      <c r="B41" s="12">
        <v>10</v>
      </c>
      <c r="C41" s="12">
        <v>1</v>
      </c>
      <c r="D41" s="12">
        <v>2.1</v>
      </c>
      <c r="E41" s="2">
        <v>1732318</v>
      </c>
      <c r="F41" s="16">
        <v>106202</v>
      </c>
      <c r="G41" s="1">
        <f t="shared" si="0"/>
        <v>6.1306295957208781E-2</v>
      </c>
      <c r="H41" s="23">
        <f t="shared" ref="H41" si="12">(SUM(F41:F43))/SUM(E41:E43)</f>
        <v>5.9965877385072509E-2</v>
      </c>
      <c r="I41" s="22" t="s">
        <v>87</v>
      </c>
      <c r="J41" s="23"/>
      <c r="K41" s="23"/>
    </row>
    <row r="42" spans="1:11" x14ac:dyDescent="0.25">
      <c r="A42" s="12" t="s">
        <v>10</v>
      </c>
      <c r="B42" s="12">
        <v>10</v>
      </c>
      <c r="C42" s="12">
        <v>1</v>
      </c>
      <c r="D42" s="12">
        <v>2.2000000000000002</v>
      </c>
      <c r="E42" s="2">
        <v>1670360</v>
      </c>
      <c r="F42" s="16">
        <f>79163+6732+3166+4314+1255+5243</f>
        <v>99873</v>
      </c>
      <c r="G42" s="1">
        <f t="shared" si="0"/>
        <v>5.9791302473718243E-2</v>
      </c>
      <c r="H42" s="23"/>
      <c r="I42" s="22"/>
      <c r="J42" s="23"/>
      <c r="K42" s="23"/>
    </row>
    <row r="43" spans="1:11" x14ac:dyDescent="0.25">
      <c r="A43" s="12" t="s">
        <v>10</v>
      </c>
      <c r="B43" s="12">
        <v>10</v>
      </c>
      <c r="C43" s="12">
        <v>1</v>
      </c>
      <c r="D43" s="12">
        <v>2.2999999999999998</v>
      </c>
      <c r="E43" s="2">
        <v>1674893</v>
      </c>
      <c r="F43" s="16">
        <f>25831+72575</f>
        <v>98406</v>
      </c>
      <c r="G43" s="1">
        <f t="shared" si="0"/>
        <v>5.8753603961566502E-2</v>
      </c>
      <c r="H43" s="23"/>
      <c r="I43" s="22"/>
      <c r="J43" s="23"/>
      <c r="K43" s="23"/>
    </row>
    <row r="44" spans="1:11" x14ac:dyDescent="0.25">
      <c r="A44" s="12" t="s">
        <v>10</v>
      </c>
      <c r="B44" s="12">
        <v>10</v>
      </c>
      <c r="C44" s="12">
        <v>1</v>
      </c>
      <c r="D44" s="12">
        <v>3.1</v>
      </c>
      <c r="E44" s="2">
        <v>1141133</v>
      </c>
      <c r="F44" s="16">
        <f>43662+26538+3042+1279</f>
        <v>74521</v>
      </c>
      <c r="G44" s="1">
        <f t="shared" si="0"/>
        <v>6.5304394842669519E-2</v>
      </c>
      <c r="H44" s="23">
        <f t="shared" ref="H44" si="13">(SUM(F44:F46))/SUM(E44:E46)</f>
        <v>5.6204981849405894E-2</v>
      </c>
      <c r="I44" s="22" t="s">
        <v>87</v>
      </c>
      <c r="J44" s="23"/>
      <c r="K44" s="23"/>
    </row>
    <row r="45" spans="1:11" x14ac:dyDescent="0.25">
      <c r="A45" s="12" t="s">
        <v>10</v>
      </c>
      <c r="B45" s="12">
        <v>10</v>
      </c>
      <c r="C45" s="12">
        <v>1</v>
      </c>
      <c r="D45" s="12">
        <v>3.2</v>
      </c>
      <c r="E45" s="2">
        <v>1002515</v>
      </c>
      <c r="F45" s="16">
        <f>56264+2543+3238</f>
        <v>62045</v>
      </c>
      <c r="G45" s="1">
        <f t="shared" si="0"/>
        <v>6.1889348289053028E-2</v>
      </c>
      <c r="H45" s="23"/>
      <c r="I45" s="22"/>
      <c r="J45" s="23"/>
      <c r="K45" s="23"/>
    </row>
    <row r="46" spans="1:11" x14ac:dyDescent="0.25">
      <c r="A46" s="12" t="s">
        <v>10</v>
      </c>
      <c r="B46" s="12">
        <v>10</v>
      </c>
      <c r="C46" s="12">
        <v>1</v>
      </c>
      <c r="D46" s="12">
        <v>3.3</v>
      </c>
      <c r="E46" s="2">
        <v>838899</v>
      </c>
      <c r="F46" s="16">
        <v>31068</v>
      </c>
      <c r="G46" s="1">
        <f t="shared" si="0"/>
        <v>3.7034255613607833E-2</v>
      </c>
      <c r="H46" s="23"/>
      <c r="I46" s="22"/>
      <c r="J46" s="23"/>
      <c r="K46" s="23"/>
    </row>
    <row r="47" spans="1:11" x14ac:dyDescent="0.25">
      <c r="A47" s="12" t="s">
        <v>11</v>
      </c>
      <c r="B47" s="12">
        <v>10</v>
      </c>
      <c r="C47" s="12">
        <v>1</v>
      </c>
      <c r="D47" s="12">
        <v>1.1000000000000001</v>
      </c>
      <c r="E47" s="2">
        <v>1809122</v>
      </c>
      <c r="F47" s="16">
        <v>120950</v>
      </c>
      <c r="G47" s="1">
        <f t="shared" si="0"/>
        <v>6.6855634943359263E-2</v>
      </c>
      <c r="H47" s="23">
        <f t="shared" ref="H47" si="14">(SUM(F47:F49))/SUM(E47:E49)</f>
        <v>7.123242367983805E-2</v>
      </c>
      <c r="I47" s="22" t="s">
        <v>87</v>
      </c>
      <c r="J47" s="23">
        <f>AVERAGE(G47:G55)</f>
        <v>4.1025683701569365E-2</v>
      </c>
      <c r="K47" s="23"/>
    </row>
    <row r="48" spans="1:11" x14ac:dyDescent="0.25">
      <c r="A48" s="12" t="s">
        <v>11</v>
      </c>
      <c r="B48" s="12">
        <v>10</v>
      </c>
      <c r="C48" s="12">
        <v>1</v>
      </c>
      <c r="D48" s="12">
        <v>1.2</v>
      </c>
      <c r="E48" s="2">
        <v>1490201</v>
      </c>
      <c r="F48" s="16">
        <v>171061</v>
      </c>
      <c r="G48" s="1">
        <f t="shared" si="0"/>
        <v>0.11479055509961408</v>
      </c>
      <c r="H48" s="23"/>
      <c r="I48" s="22"/>
      <c r="J48" s="23"/>
      <c r="K48" s="23"/>
    </row>
    <row r="49" spans="1:11" x14ac:dyDescent="0.25">
      <c r="A49" s="12" t="s">
        <v>11</v>
      </c>
      <c r="B49" s="12">
        <v>10</v>
      </c>
      <c r="C49" s="12">
        <v>1</v>
      </c>
      <c r="D49" s="12">
        <v>1.3</v>
      </c>
      <c r="E49" s="2">
        <v>1593126</v>
      </c>
      <c r="F49" s="16">
        <v>56490</v>
      </c>
      <c r="G49" s="1">
        <f t="shared" si="0"/>
        <v>3.5458588962831564E-2</v>
      </c>
      <c r="H49" s="23"/>
      <c r="I49" s="22"/>
      <c r="J49" s="23"/>
      <c r="K49" s="23"/>
    </row>
    <row r="50" spans="1:11" x14ac:dyDescent="0.25">
      <c r="A50" s="12" t="s">
        <v>11</v>
      </c>
      <c r="B50" s="12">
        <v>10</v>
      </c>
      <c r="C50" s="12">
        <v>1</v>
      </c>
      <c r="D50" s="12">
        <v>2.1</v>
      </c>
      <c r="E50" s="2">
        <v>777893</v>
      </c>
      <c r="F50" s="16">
        <v>1383</v>
      </c>
      <c r="G50" s="1">
        <f t="shared" si="0"/>
        <v>1.7778794769974791E-3</v>
      </c>
      <c r="H50" s="23">
        <f t="shared" ref="H50" si="15">(SUM(F50:F52))/SUM(E50:E52)</f>
        <v>1.8217811284199062E-3</v>
      </c>
      <c r="I50" s="22" t="s">
        <v>86</v>
      </c>
      <c r="J50" s="23"/>
      <c r="K50" s="23"/>
    </row>
    <row r="51" spans="1:11" x14ac:dyDescent="0.25">
      <c r="A51" s="12" t="s">
        <v>11</v>
      </c>
      <c r="B51" s="12">
        <v>10</v>
      </c>
      <c r="C51" s="12">
        <v>1</v>
      </c>
      <c r="D51" s="12">
        <v>2.2000000000000002</v>
      </c>
      <c r="E51" s="2">
        <v>1848301</v>
      </c>
      <c r="F51" s="16">
        <v>3755</v>
      </c>
      <c r="G51" s="1">
        <f t="shared" si="0"/>
        <v>2.0315955031133997E-3</v>
      </c>
      <c r="H51" s="23"/>
      <c r="I51" s="22"/>
      <c r="J51" s="23"/>
      <c r="K51" s="23"/>
    </row>
    <row r="52" spans="1:11" x14ac:dyDescent="0.25">
      <c r="A52" s="12" t="s">
        <v>11</v>
      </c>
      <c r="B52" s="12">
        <v>10</v>
      </c>
      <c r="C52" s="12">
        <v>1</v>
      </c>
      <c r="D52" s="12">
        <v>2.2999999999999998</v>
      </c>
      <c r="E52" s="2">
        <v>1523591</v>
      </c>
      <c r="F52" s="16">
        <v>2422</v>
      </c>
      <c r="G52" s="1">
        <f t="shared" si="0"/>
        <v>1.5896654679635152E-3</v>
      </c>
      <c r="H52" s="23"/>
      <c r="I52" s="22"/>
      <c r="J52" s="23"/>
      <c r="K52" s="23"/>
    </row>
    <row r="53" spans="1:11" x14ac:dyDescent="0.25">
      <c r="A53" s="12" t="s">
        <v>11</v>
      </c>
      <c r="B53" s="12">
        <v>10</v>
      </c>
      <c r="C53" s="12">
        <v>1</v>
      </c>
      <c r="D53" s="12">
        <v>3.1</v>
      </c>
      <c r="E53" s="2">
        <v>886611</v>
      </c>
      <c r="F53" s="16">
        <v>38252</v>
      </c>
      <c r="G53" s="1">
        <f t="shared" si="0"/>
        <v>4.3144062052016048E-2</v>
      </c>
      <c r="H53" s="23">
        <f t="shared" ref="H53" si="16">(SUM(F53:F55))/SUM(E53:E55)</f>
        <v>4.6833821532229036E-2</v>
      </c>
      <c r="I53" s="22" t="s">
        <v>87</v>
      </c>
      <c r="J53" s="23"/>
      <c r="K53" s="23"/>
    </row>
    <row r="54" spans="1:11" x14ac:dyDescent="0.25">
      <c r="A54" s="12" t="s">
        <v>11</v>
      </c>
      <c r="B54" s="12">
        <v>10</v>
      </c>
      <c r="C54" s="12">
        <v>1</v>
      </c>
      <c r="D54" s="12">
        <v>3.2</v>
      </c>
      <c r="E54" s="2">
        <v>884421</v>
      </c>
      <c r="F54" s="16">
        <v>24725</v>
      </c>
      <c r="G54" s="1">
        <f t="shared" si="0"/>
        <v>2.7956143058565999E-2</v>
      </c>
      <c r="H54" s="23"/>
      <c r="I54" s="22"/>
      <c r="J54" s="23"/>
      <c r="K54" s="23"/>
    </row>
    <row r="55" spans="1:11" x14ac:dyDescent="0.25">
      <c r="A55" s="12" t="s">
        <v>11</v>
      </c>
      <c r="B55" s="12">
        <v>10</v>
      </c>
      <c r="C55" s="12">
        <v>1</v>
      </c>
      <c r="D55" s="12">
        <v>3.3</v>
      </c>
      <c r="E55" s="2">
        <v>693469</v>
      </c>
      <c r="F55" s="16">
        <f>50370+2075</f>
        <v>52445</v>
      </c>
      <c r="G55" s="1">
        <f t="shared" si="0"/>
        <v>7.5627028749662928E-2</v>
      </c>
      <c r="H55" s="23"/>
      <c r="I55" s="22"/>
      <c r="J55" s="23"/>
      <c r="K55" s="23"/>
    </row>
    <row r="56" spans="1:11" x14ac:dyDescent="0.25">
      <c r="A56" s="12" t="s">
        <v>65</v>
      </c>
      <c r="B56" s="12">
        <v>25</v>
      </c>
      <c r="C56" s="12">
        <v>1</v>
      </c>
      <c r="D56" s="12">
        <v>1.1000000000000001</v>
      </c>
      <c r="E56" s="2">
        <v>1012603</v>
      </c>
      <c r="F56" s="16">
        <f>10454+22300+45630+19882+41660</f>
        <v>139926</v>
      </c>
      <c r="G56" s="1">
        <f t="shared" si="0"/>
        <v>0.1381844612350546</v>
      </c>
      <c r="H56" s="23">
        <f t="shared" ref="H56" si="17">(SUM(F56:F58))/SUM(E56:E58)</f>
        <v>0.10009030199509712</v>
      </c>
      <c r="I56" s="22" t="s">
        <v>87</v>
      </c>
      <c r="J56" s="23">
        <f>AVERAGE(G56:G64)</f>
        <v>5.494699506071575E-2</v>
      </c>
      <c r="K56" s="23">
        <f>AVERAGE(G56:G82)</f>
        <v>2.9216432979253918E-2</v>
      </c>
    </row>
    <row r="57" spans="1:11" x14ac:dyDescent="0.25">
      <c r="A57" s="12" t="s">
        <v>65</v>
      </c>
      <c r="B57" s="12">
        <v>25</v>
      </c>
      <c r="C57" s="12">
        <v>1</v>
      </c>
      <c r="D57" s="12">
        <v>1.2</v>
      </c>
      <c r="E57" s="2">
        <v>1099576</v>
      </c>
      <c r="F57" s="16">
        <f>40569+10230+11401+26078</f>
        <v>88278</v>
      </c>
      <c r="G57" s="1">
        <f t="shared" si="0"/>
        <v>8.0283672979402976E-2</v>
      </c>
      <c r="H57" s="23"/>
      <c r="I57" s="22"/>
      <c r="J57" s="23"/>
      <c r="K57" s="23"/>
    </row>
    <row r="58" spans="1:11" x14ac:dyDescent="0.25">
      <c r="A58" s="12" t="s">
        <v>65</v>
      </c>
      <c r="B58" s="12">
        <v>25</v>
      </c>
      <c r="C58" s="12">
        <v>1</v>
      </c>
      <c r="D58" s="12">
        <v>1.3</v>
      </c>
      <c r="E58" s="2">
        <v>868929</v>
      </c>
      <c r="F58" s="16">
        <f>26844+2984+11317+13996+6322+8713</f>
        <v>70176</v>
      </c>
      <c r="G58" s="1">
        <f t="shared" si="0"/>
        <v>8.0761489143531859E-2</v>
      </c>
      <c r="H58" s="23"/>
      <c r="I58" s="22"/>
      <c r="J58" s="23"/>
      <c r="K58" s="23"/>
    </row>
    <row r="59" spans="1:11" x14ac:dyDescent="0.25">
      <c r="A59" s="12" t="s">
        <v>65</v>
      </c>
      <c r="B59" s="12">
        <v>25</v>
      </c>
      <c r="C59" s="12">
        <v>1</v>
      </c>
      <c r="D59" s="12">
        <v>2.1</v>
      </c>
      <c r="E59" s="2">
        <v>542683</v>
      </c>
      <c r="F59" s="16">
        <v>3366</v>
      </c>
      <c r="G59" s="1">
        <f t="shared" si="0"/>
        <v>6.2025160176382901E-3</v>
      </c>
      <c r="H59" s="23">
        <f t="shared" ref="H59" si="18">(SUM(F59:F61))/SUM(E59:E61)</f>
        <v>3.8788561358745623E-2</v>
      </c>
      <c r="I59" s="22" t="s">
        <v>87</v>
      </c>
      <c r="J59" s="23"/>
      <c r="K59" s="23"/>
    </row>
    <row r="60" spans="1:11" x14ac:dyDescent="0.25">
      <c r="A60" s="12" t="s">
        <v>65</v>
      </c>
      <c r="B60" s="12">
        <v>25</v>
      </c>
      <c r="C60" s="12">
        <v>1</v>
      </c>
      <c r="D60" s="12">
        <v>2.2000000000000002</v>
      </c>
      <c r="E60" s="2">
        <v>925156</v>
      </c>
      <c r="F60" s="16">
        <f>34841+819+7581</f>
        <v>43241</v>
      </c>
      <c r="G60" s="1">
        <f t="shared" si="0"/>
        <v>4.6739144533462465E-2</v>
      </c>
      <c r="H60" s="23"/>
      <c r="I60" s="22"/>
      <c r="J60" s="23"/>
      <c r="K60" s="23"/>
    </row>
    <row r="61" spans="1:11" x14ac:dyDescent="0.25">
      <c r="A61" s="12" t="s">
        <v>65</v>
      </c>
      <c r="B61" s="12">
        <v>25</v>
      </c>
      <c r="C61" s="12">
        <v>1</v>
      </c>
      <c r="D61" s="12">
        <v>2.2999999999999998</v>
      </c>
      <c r="E61" s="2">
        <v>1167474</v>
      </c>
      <c r="F61" s="16">
        <v>55613</v>
      </c>
      <c r="G61" s="1">
        <f t="shared" si="0"/>
        <v>4.7635322071412294E-2</v>
      </c>
      <c r="H61" s="23"/>
      <c r="I61" s="22"/>
      <c r="J61" s="23"/>
      <c r="K61" s="23"/>
    </row>
    <row r="62" spans="1:11" x14ac:dyDescent="0.25">
      <c r="A62" s="12" t="s">
        <v>65</v>
      </c>
      <c r="B62" s="12">
        <v>25</v>
      </c>
      <c r="C62" s="12">
        <v>1</v>
      </c>
      <c r="D62" s="12">
        <v>3.1</v>
      </c>
      <c r="E62" s="2">
        <v>2612455</v>
      </c>
      <c r="F62" s="16">
        <f>19853+38122+4812+23645+8291+7748+5108+9554+662+6750</f>
        <v>124545</v>
      </c>
      <c r="G62" s="1">
        <f t="shared" si="0"/>
        <v>4.7673548443896638E-2</v>
      </c>
      <c r="H62" s="23">
        <f t="shared" ref="H62" si="19">(SUM(F62:F64))/SUM(E62:E64)</f>
        <v>3.1591500691166542E-2</v>
      </c>
      <c r="I62" s="22" t="s">
        <v>87</v>
      </c>
      <c r="J62" s="23"/>
      <c r="K62" s="23"/>
    </row>
    <row r="63" spans="1:11" x14ac:dyDescent="0.25">
      <c r="A63" s="12" t="s">
        <v>65</v>
      </c>
      <c r="B63" s="12">
        <v>25</v>
      </c>
      <c r="C63" s="12">
        <v>1</v>
      </c>
      <c r="D63" s="12">
        <v>3.2</v>
      </c>
      <c r="E63" s="2">
        <v>2606494</v>
      </c>
      <c r="F63" s="16">
        <f>40520+1589</f>
        <v>42109</v>
      </c>
      <c r="G63" s="1">
        <f t="shared" si="0"/>
        <v>1.6155417967584042E-2</v>
      </c>
      <c r="H63" s="23"/>
      <c r="I63" s="22"/>
      <c r="J63" s="23"/>
      <c r="K63" s="23"/>
    </row>
    <row r="64" spans="1:11" x14ac:dyDescent="0.25">
      <c r="A64" s="12" t="s">
        <v>65</v>
      </c>
      <c r="B64" s="12">
        <v>25</v>
      </c>
      <c r="C64" s="12">
        <v>1</v>
      </c>
      <c r="D64" s="12">
        <v>3.3</v>
      </c>
      <c r="E64" s="2">
        <v>2527375</v>
      </c>
      <c r="F64" s="16">
        <f>74301+3763</f>
        <v>78064</v>
      </c>
      <c r="G64" s="1">
        <f t="shared" si="0"/>
        <v>3.0887383154458676E-2</v>
      </c>
      <c r="H64" s="23"/>
      <c r="I64" s="22"/>
      <c r="J64" s="23"/>
      <c r="K64" s="23"/>
    </row>
    <row r="65" spans="1:11" x14ac:dyDescent="0.25">
      <c r="A65" s="12" t="s">
        <v>66</v>
      </c>
      <c r="B65" s="12">
        <v>25</v>
      </c>
      <c r="C65" s="12">
        <v>1</v>
      </c>
      <c r="D65" s="12">
        <v>1.1000000000000001</v>
      </c>
      <c r="E65" s="2">
        <v>1205854</v>
      </c>
      <c r="F65" s="16">
        <v>8286</v>
      </c>
      <c r="G65" s="1">
        <f t="shared" si="0"/>
        <v>6.8714786367172149E-3</v>
      </c>
      <c r="H65" s="23">
        <f t="shared" ref="H65" si="20">(SUM(F65:F67))/SUM(E65:E67)</f>
        <v>7.6324635098378359E-3</v>
      </c>
      <c r="I65" s="22" t="s">
        <v>87</v>
      </c>
      <c r="J65" s="23">
        <f>AVERAGE(G65:G73)</f>
        <v>3.3637199969986848E-3</v>
      </c>
      <c r="K65" s="23"/>
    </row>
    <row r="66" spans="1:11" x14ac:dyDescent="0.25">
      <c r="A66" s="12" t="s">
        <v>66</v>
      </c>
      <c r="B66" s="12">
        <v>25</v>
      </c>
      <c r="C66" s="12">
        <v>1</v>
      </c>
      <c r="D66" s="12">
        <v>1.2</v>
      </c>
      <c r="E66" s="2">
        <v>925810</v>
      </c>
      <c r="F66" s="16">
        <v>5140</v>
      </c>
      <c r="G66" s="1">
        <f t="shared" ref="G66:G129" si="21">F66/E66</f>
        <v>5.551895097266178E-3</v>
      </c>
      <c r="H66" s="23"/>
      <c r="I66" s="22"/>
      <c r="J66" s="23"/>
      <c r="K66" s="23"/>
    </row>
    <row r="67" spans="1:11" x14ac:dyDescent="0.25">
      <c r="A67" s="12" t="s">
        <v>66</v>
      </c>
      <c r="B67" s="12">
        <v>25</v>
      </c>
      <c r="C67" s="12">
        <v>1</v>
      </c>
      <c r="D67" s="12">
        <v>1.3</v>
      </c>
      <c r="E67" s="2">
        <v>1392231</v>
      </c>
      <c r="F67" s="16">
        <v>13470</v>
      </c>
      <c r="G67" s="1">
        <f t="shared" si="21"/>
        <v>9.6751185686857998E-3</v>
      </c>
      <c r="H67" s="23"/>
      <c r="I67" s="22"/>
      <c r="J67" s="23"/>
      <c r="K67" s="23"/>
    </row>
    <row r="68" spans="1:11" x14ac:dyDescent="0.25">
      <c r="A68" s="12" t="s">
        <v>66</v>
      </c>
      <c r="B68" s="12">
        <v>25</v>
      </c>
      <c r="C68" s="12">
        <v>1</v>
      </c>
      <c r="D68" s="12">
        <v>2.1</v>
      </c>
      <c r="E68" s="2">
        <v>433593</v>
      </c>
      <c r="F68" s="16">
        <v>1033</v>
      </c>
      <c r="G68" s="1">
        <f t="shared" si="21"/>
        <v>2.3824185353545839E-3</v>
      </c>
      <c r="H68" s="23">
        <f t="shared" ref="H68" si="22">(SUM(F68:F70))/SUM(E68:E70)</f>
        <v>1.6353100882870422E-3</v>
      </c>
      <c r="I68" s="22" t="s">
        <v>87</v>
      </c>
      <c r="J68" s="23"/>
      <c r="K68" s="23"/>
    </row>
    <row r="69" spans="1:11" x14ac:dyDescent="0.25">
      <c r="A69" s="12" t="s">
        <v>66</v>
      </c>
      <c r="B69" s="12">
        <v>25</v>
      </c>
      <c r="C69" s="12">
        <v>1</v>
      </c>
      <c r="D69" s="12">
        <v>2.2000000000000002</v>
      </c>
      <c r="E69" s="2">
        <v>533579</v>
      </c>
      <c r="F69" s="16">
        <v>903</v>
      </c>
      <c r="G69" s="1">
        <f t="shared" si="21"/>
        <v>1.6923454633709348E-3</v>
      </c>
      <c r="H69" s="23"/>
      <c r="I69" s="22"/>
      <c r="J69" s="23"/>
      <c r="K69" s="23"/>
    </row>
    <row r="70" spans="1:11" x14ac:dyDescent="0.25">
      <c r="A70" s="12" t="s">
        <v>66</v>
      </c>
      <c r="B70" s="12">
        <v>25</v>
      </c>
      <c r="C70" s="12">
        <v>1</v>
      </c>
      <c r="D70" s="12">
        <v>2.2999999999999998</v>
      </c>
      <c r="E70" s="2">
        <v>555475</v>
      </c>
      <c r="F70" s="16">
        <v>554</v>
      </c>
      <c r="G70" s="1">
        <f t="shared" si="21"/>
        <v>9.9734461496917047E-4</v>
      </c>
      <c r="H70" s="23"/>
      <c r="I70" s="22"/>
      <c r="J70" s="23"/>
      <c r="K70" s="23"/>
    </row>
    <row r="71" spans="1:11" x14ac:dyDescent="0.25">
      <c r="A71" s="12" t="s">
        <v>66</v>
      </c>
      <c r="B71" s="12">
        <v>25</v>
      </c>
      <c r="C71" s="12">
        <v>1</v>
      </c>
      <c r="D71" s="12">
        <v>3.1</v>
      </c>
      <c r="E71" s="2">
        <v>456024</v>
      </c>
      <c r="F71" s="16">
        <v>451</v>
      </c>
      <c r="G71" s="1">
        <f t="shared" si="21"/>
        <v>9.8898303598056242E-4</v>
      </c>
      <c r="H71" s="23">
        <f t="shared" ref="H71" si="23">(SUM(F71:F73))/SUM(E71:E73)</f>
        <v>9.6906070220810698E-4</v>
      </c>
      <c r="I71" s="22" t="s">
        <v>87</v>
      </c>
      <c r="J71" s="23"/>
      <c r="K71" s="23"/>
    </row>
    <row r="72" spans="1:11" x14ac:dyDescent="0.25">
      <c r="A72" s="12" t="s">
        <v>66</v>
      </c>
      <c r="B72" s="12">
        <v>25</v>
      </c>
      <c r="C72" s="12">
        <v>1</v>
      </c>
      <c r="D72" s="12">
        <v>3.2</v>
      </c>
      <c r="E72" s="2">
        <v>495504</v>
      </c>
      <c r="F72" s="16">
        <v>238</v>
      </c>
      <c r="G72" s="1">
        <f t="shared" si="21"/>
        <v>4.8031902870612547E-4</v>
      </c>
      <c r="H72" s="23"/>
      <c r="I72" s="22"/>
      <c r="J72" s="23"/>
      <c r="K72" s="23"/>
    </row>
    <row r="73" spans="1:11" x14ac:dyDescent="0.25">
      <c r="A73" s="12" t="s">
        <v>66</v>
      </c>
      <c r="B73" s="12">
        <v>25</v>
      </c>
      <c r="C73" s="12">
        <v>1</v>
      </c>
      <c r="D73" s="12">
        <v>3.3</v>
      </c>
      <c r="E73" s="2">
        <v>350764</v>
      </c>
      <c r="F73" s="16">
        <v>573</v>
      </c>
      <c r="G73" s="1">
        <f t="shared" si="21"/>
        <v>1.633576991937599E-3</v>
      </c>
      <c r="H73" s="23"/>
      <c r="I73" s="22"/>
      <c r="J73" s="23"/>
      <c r="K73" s="23"/>
    </row>
    <row r="74" spans="1:11" x14ac:dyDescent="0.25">
      <c r="A74" s="12" t="s">
        <v>64</v>
      </c>
      <c r="B74" s="12">
        <v>25</v>
      </c>
      <c r="C74" s="12">
        <v>1</v>
      </c>
      <c r="D74" s="12">
        <v>1.1000000000000001</v>
      </c>
      <c r="E74" s="2">
        <v>1921510</v>
      </c>
      <c r="F74" s="16">
        <f>12014+231</f>
        <v>12245</v>
      </c>
      <c r="G74" s="1">
        <f t="shared" si="21"/>
        <v>6.3725923882779686E-3</v>
      </c>
      <c r="H74" s="23">
        <f t="shared" ref="H74" si="24">(SUM(F74:F76))/SUM(E74:E76)</f>
        <v>5.0291719306526355E-3</v>
      </c>
      <c r="I74" s="22" t="s">
        <v>86</v>
      </c>
      <c r="J74" s="23">
        <f>AVERAGE(G74:G82)</f>
        <v>2.9338583880047325E-2</v>
      </c>
      <c r="K74" s="23"/>
    </row>
    <row r="75" spans="1:11" x14ac:dyDescent="0.25">
      <c r="A75" s="12" t="s">
        <v>64</v>
      </c>
      <c r="B75" s="12">
        <v>25</v>
      </c>
      <c r="C75" s="12">
        <v>1</v>
      </c>
      <c r="D75" s="12">
        <v>1.2</v>
      </c>
      <c r="E75" s="2">
        <v>1616794</v>
      </c>
      <c r="F75" s="16">
        <f>1976+2811+1239</f>
        <v>6026</v>
      </c>
      <c r="G75" s="1">
        <f t="shared" si="21"/>
        <v>3.7271291209640808E-3</v>
      </c>
      <c r="H75" s="23"/>
      <c r="I75" s="22"/>
      <c r="J75" s="23"/>
      <c r="K75" s="23"/>
    </row>
    <row r="76" spans="1:11" x14ac:dyDescent="0.25">
      <c r="A76" s="12" t="s">
        <v>64</v>
      </c>
      <c r="B76" s="12">
        <v>25</v>
      </c>
      <c r="C76" s="12">
        <v>1</v>
      </c>
      <c r="D76" s="12">
        <v>1.3</v>
      </c>
      <c r="E76" s="2">
        <v>1656587</v>
      </c>
      <c r="F76" s="16">
        <f>5112+2682+61</f>
        <v>7855</v>
      </c>
      <c r="G76" s="1">
        <f t="shared" si="21"/>
        <v>4.7416767124213817E-3</v>
      </c>
      <c r="H76" s="23"/>
      <c r="I76" s="22"/>
      <c r="J76" s="23"/>
      <c r="K76" s="23"/>
    </row>
    <row r="77" spans="1:11" x14ac:dyDescent="0.25">
      <c r="A77" s="12" t="s">
        <v>64</v>
      </c>
      <c r="B77" s="12">
        <v>25</v>
      </c>
      <c r="C77" s="12">
        <v>1</v>
      </c>
      <c r="D77" s="12">
        <v>2.1</v>
      </c>
      <c r="E77" s="2">
        <v>1722586</v>
      </c>
      <c r="F77" s="16">
        <f>12648+4428+4638+5732+632+357</f>
        <v>28435</v>
      </c>
      <c r="G77" s="1">
        <f t="shared" si="21"/>
        <v>1.6507158423440107E-2</v>
      </c>
      <c r="H77" s="23">
        <f t="shared" ref="H77" si="25">(SUM(F77:F79))/SUM(E77:E79)</f>
        <v>1.6180782273428205E-2</v>
      </c>
      <c r="I77" s="22" t="s">
        <v>87</v>
      </c>
      <c r="J77" s="23"/>
      <c r="K77" s="23"/>
    </row>
    <row r="78" spans="1:11" x14ac:dyDescent="0.25">
      <c r="A78" s="12" t="s">
        <v>64</v>
      </c>
      <c r="B78" s="12">
        <v>25</v>
      </c>
      <c r="C78" s="12">
        <v>1</v>
      </c>
      <c r="D78" s="12">
        <v>2.2000000000000002</v>
      </c>
      <c r="E78" s="2">
        <v>1918373</v>
      </c>
      <c r="F78" s="16">
        <f>2835+1280+5036+3348+3240+1049</f>
        <v>16788</v>
      </c>
      <c r="G78" s="1">
        <f t="shared" si="21"/>
        <v>8.7511657013521361E-3</v>
      </c>
      <c r="H78" s="23"/>
      <c r="I78" s="22"/>
      <c r="J78" s="23"/>
      <c r="K78" s="23"/>
    </row>
    <row r="79" spans="1:11" x14ac:dyDescent="0.25">
      <c r="A79" s="12" t="s">
        <v>64</v>
      </c>
      <c r="B79" s="12">
        <v>25</v>
      </c>
      <c r="C79" s="12">
        <v>1</v>
      </c>
      <c r="D79" s="12">
        <v>2.2999999999999998</v>
      </c>
      <c r="E79" s="2">
        <v>1978176</v>
      </c>
      <c r="F79" s="16">
        <v>45699</v>
      </c>
      <c r="G79" s="1">
        <f t="shared" si="21"/>
        <v>2.3101584489954381E-2</v>
      </c>
      <c r="H79" s="23"/>
      <c r="I79" s="22"/>
      <c r="J79" s="23"/>
      <c r="K79" s="23"/>
    </row>
    <row r="80" spans="1:11" x14ac:dyDescent="0.25">
      <c r="A80" s="12" t="s">
        <v>64</v>
      </c>
      <c r="B80" s="12">
        <v>25</v>
      </c>
      <c r="C80" s="12">
        <v>1</v>
      </c>
      <c r="D80" s="12">
        <v>3.1</v>
      </c>
      <c r="E80" s="2">
        <v>1108737</v>
      </c>
      <c r="F80" s="16">
        <f>42816+8063+3505+3618+7503+5695+691</f>
        <v>71891</v>
      </c>
      <c r="G80" s="1">
        <f t="shared" si="21"/>
        <v>6.484044457792966E-2</v>
      </c>
      <c r="H80" s="23">
        <f t="shared" ref="H80" si="26">(SUM(F80:F82))/SUM(E80:E82)</f>
        <v>6.6982404321054234E-2</v>
      </c>
      <c r="I80" s="22" t="s">
        <v>87</v>
      </c>
      <c r="J80" s="23"/>
      <c r="K80" s="23"/>
    </row>
    <row r="81" spans="1:11" x14ac:dyDescent="0.25">
      <c r="A81" s="12" t="s">
        <v>64</v>
      </c>
      <c r="B81" s="12">
        <v>25</v>
      </c>
      <c r="C81" s="12">
        <v>1</v>
      </c>
      <c r="D81" s="12">
        <v>3.2</v>
      </c>
      <c r="E81" s="2">
        <v>1161298</v>
      </c>
      <c r="F81" s="16">
        <f>8009+6439+45917+5165+3322+4094+9885+720+1011+1094</f>
        <v>85656</v>
      </c>
      <c r="G81" s="1">
        <f t="shared" si="21"/>
        <v>7.3758845705408943E-2</v>
      </c>
      <c r="H81" s="23"/>
      <c r="I81" s="22"/>
      <c r="J81" s="23"/>
      <c r="K81" s="23"/>
    </row>
    <row r="82" spans="1:11" x14ac:dyDescent="0.25">
      <c r="A82" s="12" t="s">
        <v>64</v>
      </c>
      <c r="B82" s="12">
        <v>25</v>
      </c>
      <c r="C82" s="12">
        <v>1</v>
      </c>
      <c r="D82" s="12">
        <v>3.3</v>
      </c>
      <c r="E82" s="2">
        <v>1160239</v>
      </c>
      <c r="F82" s="16">
        <f>4476+36821+7591+16613+3824+2896</f>
        <v>72221</v>
      </c>
      <c r="G82" s="1">
        <f t="shared" si="21"/>
        <v>6.2246657800677271E-2</v>
      </c>
      <c r="H82" s="23"/>
      <c r="I82" s="22"/>
      <c r="J82" s="23"/>
      <c r="K82" s="23"/>
    </row>
    <row r="83" spans="1:11" x14ac:dyDescent="0.25">
      <c r="A83" s="12" t="s">
        <v>52</v>
      </c>
      <c r="B83" s="12">
        <v>35</v>
      </c>
      <c r="C83" s="12">
        <v>1</v>
      </c>
      <c r="D83" s="12">
        <v>1.1000000000000001</v>
      </c>
      <c r="E83" s="2">
        <v>744586</v>
      </c>
      <c r="F83" s="16">
        <v>0</v>
      </c>
      <c r="G83" s="1">
        <f t="shared" si="21"/>
        <v>0</v>
      </c>
      <c r="H83" s="23">
        <f t="shared" ref="H83" si="27">(SUM(F83:F85))/SUM(E83:E85)</f>
        <v>1.7279788134122505E-4</v>
      </c>
      <c r="I83" s="22" t="s">
        <v>86</v>
      </c>
      <c r="J83" s="23">
        <f>AVERAGE(G84:G91)</f>
        <v>3.4050428132859599E-2</v>
      </c>
      <c r="K83" s="23">
        <f>AVERAGE(G83:G109)</f>
        <v>2.6988963653195804E-2</v>
      </c>
    </row>
    <row r="84" spans="1:11" x14ac:dyDescent="0.25">
      <c r="A84" s="12" t="s">
        <v>52</v>
      </c>
      <c r="B84" s="12">
        <v>35</v>
      </c>
      <c r="C84" s="12">
        <v>1</v>
      </c>
      <c r="D84" s="12">
        <v>1.2</v>
      </c>
      <c r="E84" s="2">
        <v>1257539</v>
      </c>
      <c r="F84" s="16">
        <v>320</v>
      </c>
      <c r="G84" s="1">
        <f t="shared" si="21"/>
        <v>2.5446526906918989E-4</v>
      </c>
      <c r="H84" s="23"/>
      <c r="I84" s="22"/>
      <c r="J84" s="23"/>
      <c r="K84" s="23"/>
    </row>
    <row r="85" spans="1:11" x14ac:dyDescent="0.25">
      <c r="A85" s="12" t="s">
        <v>52</v>
      </c>
      <c r="B85" s="12">
        <v>35</v>
      </c>
      <c r="C85" s="12">
        <v>1</v>
      </c>
      <c r="D85" s="12">
        <v>1.3</v>
      </c>
      <c r="E85" s="2">
        <v>677306</v>
      </c>
      <c r="F85" s="16">
        <v>143</v>
      </c>
      <c r="G85" s="1">
        <f t="shared" si="21"/>
        <v>2.1113056727682907E-4</v>
      </c>
      <c r="H85" s="23"/>
      <c r="I85" s="22"/>
      <c r="J85" s="23"/>
      <c r="K85" s="23"/>
    </row>
    <row r="86" spans="1:11" x14ac:dyDescent="0.25">
      <c r="A86" s="12" t="s">
        <v>52</v>
      </c>
      <c r="B86" s="12">
        <v>35</v>
      </c>
      <c r="C86" s="12">
        <v>1</v>
      </c>
      <c r="D86" s="12">
        <v>2.1</v>
      </c>
      <c r="E86" s="2">
        <v>2022405</v>
      </c>
      <c r="F86" s="16">
        <v>91167</v>
      </c>
      <c r="G86" s="1">
        <f t="shared" si="21"/>
        <v>4.5078508013973465E-2</v>
      </c>
      <c r="H86" s="23">
        <f t="shared" ref="H86" si="28">(SUM(F86:F88))/SUM(E86:E88)</f>
        <v>5.7585106850145576E-2</v>
      </c>
      <c r="I86" s="22" t="s">
        <v>87</v>
      </c>
      <c r="J86" s="23"/>
      <c r="K86" s="23"/>
    </row>
    <row r="87" spans="1:11" x14ac:dyDescent="0.25">
      <c r="A87" s="12" t="s">
        <v>52</v>
      </c>
      <c r="B87" s="12">
        <v>35</v>
      </c>
      <c r="C87" s="12">
        <v>1</v>
      </c>
      <c r="D87" s="12">
        <v>2.2000000000000002</v>
      </c>
      <c r="E87" s="2">
        <v>1606587</v>
      </c>
      <c r="F87" s="16">
        <f>80792+23305</f>
        <v>104097</v>
      </c>
      <c r="G87" s="1">
        <f t="shared" si="21"/>
        <v>6.4793876708824361E-2</v>
      </c>
      <c r="H87" s="23"/>
      <c r="I87" s="22"/>
      <c r="J87" s="23"/>
      <c r="K87" s="23"/>
    </row>
    <row r="88" spans="1:11" x14ac:dyDescent="0.25">
      <c r="A88" s="12" t="s">
        <v>52</v>
      </c>
      <c r="B88" s="12">
        <v>35</v>
      </c>
      <c r="C88" s="12">
        <v>1</v>
      </c>
      <c r="D88" s="12">
        <v>2.2999999999999998</v>
      </c>
      <c r="E88" s="2">
        <v>1767959</v>
      </c>
      <c r="F88" s="16">
        <f>41571+24186+4500+20838+10855+11115+2455</f>
        <v>115520</v>
      </c>
      <c r="G88" s="1">
        <f t="shared" si="21"/>
        <v>6.5340881773842036E-2</v>
      </c>
      <c r="H88" s="23"/>
      <c r="I88" s="22"/>
      <c r="J88" s="23"/>
      <c r="K88" s="23"/>
    </row>
    <row r="89" spans="1:11" x14ac:dyDescent="0.25">
      <c r="A89" s="12" t="s">
        <v>52</v>
      </c>
      <c r="B89" s="12">
        <v>35</v>
      </c>
      <c r="C89" s="12">
        <v>1</v>
      </c>
      <c r="D89" s="12">
        <v>3.1</v>
      </c>
      <c r="E89" s="2">
        <v>2319626</v>
      </c>
      <c r="F89" s="16">
        <v>62651</v>
      </c>
      <c r="G89" s="1">
        <f t="shared" si="21"/>
        <v>2.700909543176357E-2</v>
      </c>
      <c r="H89" s="23">
        <f t="shared" ref="H89" si="29">(SUM(F89:F91))/SUM(E89:E91)</f>
        <v>3.0857500533816116E-2</v>
      </c>
      <c r="I89" s="22" t="s">
        <v>87</v>
      </c>
      <c r="J89" s="23"/>
      <c r="K89" s="23"/>
    </row>
    <row r="90" spans="1:11" x14ac:dyDescent="0.25">
      <c r="A90" s="12" t="s">
        <v>52</v>
      </c>
      <c r="B90" s="12">
        <v>35</v>
      </c>
      <c r="C90" s="12">
        <v>1</v>
      </c>
      <c r="D90" s="12">
        <v>3.2</v>
      </c>
      <c r="E90" s="2">
        <v>1947561</v>
      </c>
      <c r="F90" s="16">
        <v>96805</v>
      </c>
      <c r="G90" s="1">
        <f t="shared" si="21"/>
        <v>4.9705760179013646E-2</v>
      </c>
      <c r="H90" s="23"/>
      <c r="I90" s="22"/>
      <c r="J90" s="23"/>
      <c r="K90" s="23"/>
    </row>
    <row r="91" spans="1:11" x14ac:dyDescent="0.25">
      <c r="A91" s="12" t="s">
        <v>52</v>
      </c>
      <c r="B91" s="12">
        <v>35</v>
      </c>
      <c r="C91" s="12">
        <v>1</v>
      </c>
      <c r="D91" s="12">
        <v>3.3</v>
      </c>
      <c r="E91" s="2">
        <v>2561007</v>
      </c>
      <c r="F91" s="16">
        <v>51245</v>
      </c>
      <c r="G91" s="1">
        <f t="shared" si="21"/>
        <v>2.0009707119113693E-2</v>
      </c>
      <c r="H91" s="23"/>
      <c r="I91" s="22"/>
      <c r="J91" s="23"/>
      <c r="K91" s="23"/>
    </row>
    <row r="92" spans="1:11" x14ac:dyDescent="0.25">
      <c r="A92" s="12" t="s">
        <v>54</v>
      </c>
      <c r="B92" s="12">
        <v>35</v>
      </c>
      <c r="C92" s="12">
        <v>1</v>
      </c>
      <c r="D92" s="12">
        <v>1.1000000000000001</v>
      </c>
      <c r="E92" s="2">
        <v>1778172</v>
      </c>
      <c r="F92" s="16">
        <v>7350</v>
      </c>
      <c r="G92" s="1">
        <f t="shared" si="21"/>
        <v>4.1334584055985587E-3</v>
      </c>
      <c r="H92" s="23">
        <f t="shared" ref="H92" si="30">(SUM(F92:F94))/SUM(E92:E94)</f>
        <v>1.6260976731978917E-3</v>
      </c>
      <c r="I92" s="22" t="s">
        <v>87</v>
      </c>
      <c r="J92" s="23">
        <f>AVERAGE(G92:G100)</f>
        <v>1.9423151245433656E-2</v>
      </c>
      <c r="K92" s="23"/>
    </row>
    <row r="93" spans="1:11" x14ac:dyDescent="0.25">
      <c r="A93" s="12" t="s">
        <v>54</v>
      </c>
      <c r="B93" s="12">
        <v>35</v>
      </c>
      <c r="C93" s="12">
        <v>1</v>
      </c>
      <c r="D93" s="12">
        <v>1.2</v>
      </c>
      <c r="E93" s="2">
        <v>2308223</v>
      </c>
      <c r="F93" s="16">
        <v>2389</v>
      </c>
      <c r="G93" s="1">
        <f t="shared" si="21"/>
        <v>1.0349953189098279E-3</v>
      </c>
      <c r="H93" s="23"/>
      <c r="I93" s="22"/>
      <c r="J93" s="23"/>
      <c r="K93" s="23"/>
    </row>
    <row r="94" spans="1:11" x14ac:dyDescent="0.25">
      <c r="A94" s="12" t="s">
        <v>54</v>
      </c>
      <c r="B94" s="12">
        <v>35</v>
      </c>
      <c r="C94" s="12">
        <v>1</v>
      </c>
      <c r="D94" s="12">
        <v>1.3</v>
      </c>
      <c r="E94" s="2">
        <v>2025169</v>
      </c>
      <c r="F94" s="16">
        <v>199</v>
      </c>
      <c r="G94" s="1">
        <f t="shared" si="21"/>
        <v>9.8263404189971305E-5</v>
      </c>
      <c r="H94" s="23"/>
      <c r="I94" s="22"/>
      <c r="J94" s="23"/>
      <c r="K94" s="23"/>
    </row>
    <row r="95" spans="1:11" x14ac:dyDescent="0.25">
      <c r="A95" s="12" t="s">
        <v>54</v>
      </c>
      <c r="B95" s="12">
        <v>35</v>
      </c>
      <c r="C95" s="12">
        <v>1</v>
      </c>
      <c r="D95" s="12">
        <v>2.1</v>
      </c>
      <c r="E95" s="2">
        <v>1819920</v>
      </c>
      <c r="F95" s="16">
        <v>19564</v>
      </c>
      <c r="G95" s="1">
        <f t="shared" si="21"/>
        <v>1.0749923073541693E-2</v>
      </c>
      <c r="H95" s="23">
        <f t="shared" ref="H95" si="31">(SUM(F95:F97))/SUM(E95:E97)</f>
        <v>1.5820139572762522E-2</v>
      </c>
      <c r="I95" s="22" t="s">
        <v>86</v>
      </c>
      <c r="J95" s="23"/>
      <c r="K95" s="23"/>
    </row>
    <row r="96" spans="1:11" x14ac:dyDescent="0.25">
      <c r="A96" s="12" t="s">
        <v>54</v>
      </c>
      <c r="B96" s="12">
        <v>35</v>
      </c>
      <c r="C96" s="12">
        <v>1</v>
      </c>
      <c r="D96" s="12">
        <v>2.2000000000000002</v>
      </c>
      <c r="E96" s="2">
        <v>1440480</v>
      </c>
      <c r="F96" s="16">
        <f>6427+7168+830</f>
        <v>14425</v>
      </c>
      <c r="G96" s="1">
        <f t="shared" si="21"/>
        <v>1.0014023103409974E-2</v>
      </c>
      <c r="H96" s="23"/>
      <c r="I96" s="22"/>
      <c r="J96" s="23"/>
      <c r="K96" s="23"/>
    </row>
    <row r="97" spans="1:11" x14ac:dyDescent="0.25">
      <c r="A97" s="12" t="s">
        <v>54</v>
      </c>
      <c r="B97" s="12">
        <v>35</v>
      </c>
      <c r="C97" s="12">
        <v>1</v>
      </c>
      <c r="D97" s="12">
        <v>2.2999999999999998</v>
      </c>
      <c r="E97" s="2">
        <v>1669645</v>
      </c>
      <c r="F97" s="16">
        <v>44005</v>
      </c>
      <c r="G97" s="1">
        <f t="shared" si="21"/>
        <v>2.6355902003120425E-2</v>
      </c>
      <c r="H97" s="23"/>
      <c r="I97" s="22"/>
      <c r="J97" s="23"/>
      <c r="K97" s="23"/>
    </row>
    <row r="98" spans="1:11" x14ac:dyDescent="0.25">
      <c r="A98" s="12" t="s">
        <v>54</v>
      </c>
      <c r="B98" s="12">
        <v>35</v>
      </c>
      <c r="C98" s="12">
        <v>1</v>
      </c>
      <c r="D98" s="12">
        <v>3.1</v>
      </c>
      <c r="E98" s="2">
        <v>1638315</v>
      </c>
      <c r="F98" s="16">
        <v>55791</v>
      </c>
      <c r="G98" s="1">
        <f t="shared" si="21"/>
        <v>3.4053890735298159E-2</v>
      </c>
      <c r="H98" s="23">
        <f t="shared" ref="H98" si="32">(SUM(F98:F100))/SUM(E98:E100)</f>
        <v>4.0738926846616078E-2</v>
      </c>
      <c r="I98" s="22" t="s">
        <v>87</v>
      </c>
      <c r="J98" s="23"/>
      <c r="K98" s="23"/>
    </row>
    <row r="99" spans="1:11" x14ac:dyDescent="0.25">
      <c r="A99" s="12" t="s">
        <v>54</v>
      </c>
      <c r="B99" s="12">
        <v>35</v>
      </c>
      <c r="C99" s="12">
        <v>1</v>
      </c>
      <c r="D99" s="12">
        <v>3.2</v>
      </c>
      <c r="E99" s="2">
        <v>1430524</v>
      </c>
      <c r="F99" s="16">
        <f>6379+41180+980+4064</f>
        <v>52603</v>
      </c>
      <c r="G99" s="1">
        <f t="shared" si="21"/>
        <v>3.6771840248748008E-2</v>
      </c>
      <c r="H99" s="23"/>
      <c r="I99" s="22"/>
      <c r="J99" s="23"/>
      <c r="K99" s="23"/>
    </row>
    <row r="100" spans="1:11" x14ac:dyDescent="0.25">
      <c r="A100" s="12" t="s">
        <v>54</v>
      </c>
      <c r="B100" s="12">
        <v>35</v>
      </c>
      <c r="C100" s="12">
        <v>1</v>
      </c>
      <c r="D100" s="12">
        <v>3.3</v>
      </c>
      <c r="E100" s="2">
        <v>1531454</v>
      </c>
      <c r="F100" s="16">
        <f>32691+1780+32050+222+2401+4299+4353+912+309</f>
        <v>79017</v>
      </c>
      <c r="G100" s="1">
        <f t="shared" si="21"/>
        <v>5.159606491608628E-2</v>
      </c>
      <c r="H100" s="23"/>
      <c r="I100" s="22"/>
      <c r="J100" s="23"/>
      <c r="K100" s="23"/>
    </row>
    <row r="101" spans="1:11" x14ac:dyDescent="0.25">
      <c r="A101" s="12" t="s">
        <v>53</v>
      </c>
      <c r="B101" s="12">
        <v>35</v>
      </c>
      <c r="C101" s="12">
        <v>1</v>
      </c>
      <c r="D101" s="12">
        <v>1.1000000000000001</v>
      </c>
      <c r="E101" s="2">
        <v>899747</v>
      </c>
      <c r="F101" s="16">
        <f>45075+13734</f>
        <v>58809</v>
      </c>
      <c r="G101" s="1">
        <f t="shared" si="21"/>
        <v>6.536170723547842E-2</v>
      </c>
      <c r="H101" s="23">
        <f t="shared" ref="H101" si="33">(SUM(F101:F103))/SUM(E101:E103)</f>
        <v>8.1678650172246237E-2</v>
      </c>
      <c r="I101" s="22" t="s">
        <v>87</v>
      </c>
      <c r="J101" s="23">
        <f t="shared" ref="J101" si="34">AVERAGE(G101:G109)</f>
        <v>3.1276692484945225E-2</v>
      </c>
      <c r="K101" s="23"/>
    </row>
    <row r="102" spans="1:11" x14ac:dyDescent="0.25">
      <c r="A102" s="12" t="s">
        <v>53</v>
      </c>
      <c r="B102" s="12">
        <v>35</v>
      </c>
      <c r="C102" s="12">
        <v>1</v>
      </c>
      <c r="D102" s="12">
        <v>1.2</v>
      </c>
      <c r="E102" s="2">
        <v>982037</v>
      </c>
      <c r="F102" s="16">
        <f>3800+22742+10365+7514+42593</f>
        <v>87014</v>
      </c>
      <c r="G102" s="1">
        <f t="shared" si="21"/>
        <v>8.8605622802399503E-2</v>
      </c>
      <c r="H102" s="23"/>
      <c r="I102" s="22"/>
      <c r="J102" s="23"/>
      <c r="K102" s="23"/>
    </row>
    <row r="103" spans="1:11" x14ac:dyDescent="0.25">
      <c r="A103" s="12" t="s">
        <v>53</v>
      </c>
      <c r="B103" s="12">
        <v>35</v>
      </c>
      <c r="C103" s="12">
        <v>1</v>
      </c>
      <c r="D103" s="12">
        <v>1.3</v>
      </c>
      <c r="E103" s="2">
        <v>932501</v>
      </c>
      <c r="F103" s="16">
        <f>7984+7523+15666+11190+14241+4422+16262+6756</f>
        <v>84044</v>
      </c>
      <c r="G103" s="1">
        <f t="shared" si="21"/>
        <v>9.0127517289525699E-2</v>
      </c>
      <c r="H103" s="23"/>
      <c r="I103" s="22"/>
      <c r="J103" s="23"/>
      <c r="K103" s="23"/>
    </row>
    <row r="104" spans="1:11" x14ac:dyDescent="0.25">
      <c r="A104" s="12" t="s">
        <v>53</v>
      </c>
      <c r="B104" s="12">
        <v>35</v>
      </c>
      <c r="C104" s="12">
        <v>1</v>
      </c>
      <c r="D104" s="12">
        <v>2.1</v>
      </c>
      <c r="E104" s="2">
        <v>1948844</v>
      </c>
      <c r="F104" s="16">
        <v>17473</v>
      </c>
      <c r="G104" s="1">
        <f t="shared" si="21"/>
        <v>8.9658279472343613E-3</v>
      </c>
      <c r="H104" s="23">
        <f t="shared" ref="H104" si="35">(SUM(F104:F106))/SUM(E104:E106)</f>
        <v>6.9596073146406335E-3</v>
      </c>
      <c r="I104" s="22" t="s">
        <v>87</v>
      </c>
      <c r="J104" s="23"/>
      <c r="K104" s="23"/>
    </row>
    <row r="105" spans="1:11" x14ac:dyDescent="0.25">
      <c r="A105" s="12" t="s">
        <v>53</v>
      </c>
      <c r="B105" s="12">
        <v>35</v>
      </c>
      <c r="C105" s="12">
        <v>1</v>
      </c>
      <c r="D105" s="12">
        <v>2.2000000000000002</v>
      </c>
      <c r="E105" s="2">
        <v>2056319</v>
      </c>
      <c r="F105" s="16">
        <v>17685</v>
      </c>
      <c r="G105" s="1">
        <f t="shared" si="21"/>
        <v>8.6003193084341484E-3</v>
      </c>
      <c r="H105" s="23"/>
      <c r="I105" s="22"/>
      <c r="J105" s="23"/>
      <c r="K105" s="23"/>
    </row>
    <row r="106" spans="1:11" x14ac:dyDescent="0.25">
      <c r="A106" s="12" t="s">
        <v>53</v>
      </c>
      <c r="B106" s="12">
        <v>35</v>
      </c>
      <c r="C106" s="12">
        <v>1</v>
      </c>
      <c r="D106" s="12">
        <v>2.2999999999999998</v>
      </c>
      <c r="E106" s="2">
        <v>2240448</v>
      </c>
      <c r="F106" s="16">
        <v>8309</v>
      </c>
      <c r="G106" s="1">
        <f t="shared" si="21"/>
        <v>3.708633273345331E-3</v>
      </c>
      <c r="H106" s="23"/>
      <c r="I106" s="22"/>
      <c r="J106" s="23"/>
      <c r="K106" s="23"/>
    </row>
    <row r="107" spans="1:11" x14ac:dyDescent="0.25">
      <c r="A107" s="12" t="s">
        <v>53</v>
      </c>
      <c r="B107" s="12">
        <v>35</v>
      </c>
      <c r="C107" s="12">
        <v>1</v>
      </c>
      <c r="D107" s="12">
        <v>3.1</v>
      </c>
      <c r="E107" s="2">
        <v>1981149</v>
      </c>
      <c r="F107" s="16">
        <v>5732</v>
      </c>
      <c r="G107" s="1">
        <f t="shared" si="21"/>
        <v>2.893270521298499E-3</v>
      </c>
      <c r="H107" s="23">
        <f t="shared" ref="H107" si="36">(SUM(F107:F109))/SUM(E107:E109)</f>
        <v>4.7678253420778052E-3</v>
      </c>
      <c r="I107" s="22" t="s">
        <v>86</v>
      </c>
      <c r="J107" s="23"/>
      <c r="K107" s="23"/>
    </row>
    <row r="108" spans="1:11" x14ac:dyDescent="0.25">
      <c r="A108" s="12" t="s">
        <v>53</v>
      </c>
      <c r="B108" s="12">
        <v>35</v>
      </c>
      <c r="C108" s="12">
        <v>1</v>
      </c>
      <c r="D108" s="12">
        <v>3.2</v>
      </c>
      <c r="E108" s="2">
        <v>1273899</v>
      </c>
      <c r="F108" s="16">
        <f>994+862+828+267+8831</f>
        <v>11782</v>
      </c>
      <c r="G108" s="1">
        <f t="shared" si="21"/>
        <v>9.2487708994198128E-3</v>
      </c>
      <c r="H108" s="23"/>
      <c r="I108" s="22"/>
      <c r="J108" s="23"/>
      <c r="K108" s="23"/>
    </row>
    <row r="109" spans="1:11" x14ac:dyDescent="0.25">
      <c r="A109" s="12" t="s">
        <v>53</v>
      </c>
      <c r="B109" s="12">
        <v>35</v>
      </c>
      <c r="C109" s="12">
        <v>1</v>
      </c>
      <c r="D109" s="12">
        <v>3.3</v>
      </c>
      <c r="E109" s="2">
        <v>2527043</v>
      </c>
      <c r="F109" s="16">
        <f>858+9196</f>
        <v>10054</v>
      </c>
      <c r="G109" s="1">
        <f t="shared" si="21"/>
        <v>3.9785630873712874E-3</v>
      </c>
      <c r="H109" s="23"/>
      <c r="I109" s="22"/>
      <c r="J109" s="23"/>
      <c r="K109" s="23"/>
    </row>
    <row r="110" spans="1:11" x14ac:dyDescent="0.25">
      <c r="A110" s="12" t="s">
        <v>28</v>
      </c>
      <c r="B110" s="12">
        <v>45</v>
      </c>
      <c r="C110" s="12">
        <v>1</v>
      </c>
      <c r="D110" s="12">
        <v>1.1000000000000001</v>
      </c>
      <c r="E110" s="2">
        <v>779583</v>
      </c>
      <c r="F110" s="16">
        <f>9401+1790+3776+397</f>
        <v>15364</v>
      </c>
      <c r="G110" s="1">
        <f t="shared" si="21"/>
        <v>1.9707972082510777E-2</v>
      </c>
      <c r="H110" s="23">
        <f t="shared" ref="H110" si="37">(SUM(F110:F112))/SUM(E110:E112)</f>
        <v>3.9312913947361604E-2</v>
      </c>
      <c r="I110" s="22" t="s">
        <v>87</v>
      </c>
      <c r="J110" s="23">
        <f t="shared" ref="J110" si="38">AVERAGE(G111:G118)</f>
        <v>3.7183449208198785E-2</v>
      </c>
      <c r="K110" s="23">
        <f>AVERAGE(G110:G136)</f>
        <v>3.1805668898968603E-2</v>
      </c>
    </row>
    <row r="111" spans="1:11" x14ac:dyDescent="0.25">
      <c r="A111" s="12" t="s">
        <v>28</v>
      </c>
      <c r="B111" s="12">
        <v>45</v>
      </c>
      <c r="C111" s="12">
        <v>1</v>
      </c>
      <c r="D111" s="12">
        <v>1.2</v>
      </c>
      <c r="E111" s="2">
        <v>1513719</v>
      </c>
      <c r="F111" s="16">
        <v>88142</v>
      </c>
      <c r="G111" s="1">
        <f t="shared" si="21"/>
        <v>5.8228772975697604E-2</v>
      </c>
      <c r="H111" s="23"/>
      <c r="I111" s="22"/>
      <c r="J111" s="23"/>
      <c r="K111" s="23"/>
    </row>
    <row r="112" spans="1:11" x14ac:dyDescent="0.25">
      <c r="A112" s="12" t="s">
        <v>28</v>
      </c>
      <c r="B112" s="12">
        <v>45</v>
      </c>
      <c r="C112" s="12">
        <v>1</v>
      </c>
      <c r="D112" s="12">
        <v>1.3</v>
      </c>
      <c r="E112" s="2">
        <v>1218165</v>
      </c>
      <c r="F112" s="16">
        <v>34540</v>
      </c>
      <c r="G112" s="1">
        <f t="shared" si="21"/>
        <v>2.8354122799456559E-2</v>
      </c>
      <c r="H112" s="23"/>
      <c r="I112" s="22"/>
      <c r="J112" s="23"/>
      <c r="K112" s="23"/>
    </row>
    <row r="113" spans="1:11" x14ac:dyDescent="0.25">
      <c r="A113" s="12" t="s">
        <v>28</v>
      </c>
      <c r="B113" s="12">
        <v>45</v>
      </c>
      <c r="C113" s="12">
        <v>1</v>
      </c>
      <c r="D113" s="12">
        <v>2.1</v>
      </c>
      <c r="E113" s="2">
        <v>1034947</v>
      </c>
      <c r="F113" s="16">
        <f>5768+3829+2678+5561+1099+2024+2550+3105+6328+5475</f>
        <v>38417</v>
      </c>
      <c r="G113" s="1">
        <f t="shared" si="21"/>
        <v>3.7119775215542439E-2</v>
      </c>
      <c r="H113" s="23">
        <f t="shared" ref="H113" si="39">(SUM(F113:F115))/SUM(E113:E115)</f>
        <v>1.9796841189622078E-2</v>
      </c>
      <c r="I113" s="22" t="s">
        <v>87</v>
      </c>
      <c r="J113" s="23"/>
      <c r="K113" s="23"/>
    </row>
    <row r="114" spans="1:11" x14ac:dyDescent="0.25">
      <c r="A114" s="12" t="s">
        <v>28</v>
      </c>
      <c r="B114" s="12">
        <v>45</v>
      </c>
      <c r="C114" s="12">
        <v>1</v>
      </c>
      <c r="D114" s="12">
        <v>2.2000000000000002</v>
      </c>
      <c r="E114" s="2">
        <v>807403</v>
      </c>
      <c r="F114" s="16">
        <f>2962+660</f>
        <v>3622</v>
      </c>
      <c r="G114" s="1">
        <f t="shared" si="21"/>
        <v>4.4859877904838107E-3</v>
      </c>
      <c r="H114" s="23"/>
      <c r="I114" s="22"/>
      <c r="J114" s="23"/>
      <c r="K114" s="23"/>
    </row>
    <row r="115" spans="1:11" x14ac:dyDescent="0.25">
      <c r="A115" s="12" t="s">
        <v>28</v>
      </c>
      <c r="B115" s="12">
        <v>45</v>
      </c>
      <c r="C115" s="12">
        <v>1</v>
      </c>
      <c r="D115" s="12">
        <v>2.2999999999999998</v>
      </c>
      <c r="E115" s="2">
        <v>939710</v>
      </c>
      <c r="F115" s="16">
        <v>13037</v>
      </c>
      <c r="G115" s="1">
        <f t="shared" si="21"/>
        <v>1.3873429036617681E-2</v>
      </c>
      <c r="H115" s="23"/>
      <c r="I115" s="22"/>
      <c r="J115" s="23"/>
      <c r="K115" s="23"/>
    </row>
    <row r="116" spans="1:11" x14ac:dyDescent="0.25">
      <c r="A116" s="12" t="s">
        <v>28</v>
      </c>
      <c r="B116" s="12">
        <v>45</v>
      </c>
      <c r="C116" s="12">
        <v>1</v>
      </c>
      <c r="D116" s="12">
        <v>3.1</v>
      </c>
      <c r="E116" s="2">
        <v>1588216</v>
      </c>
      <c r="F116" s="16">
        <v>77928</v>
      </c>
      <c r="G116" s="1">
        <f t="shared" si="21"/>
        <v>4.9066373843356319E-2</v>
      </c>
      <c r="H116" s="23">
        <f t="shared" ref="H116" si="40">(SUM(F116:F118))/SUM(E116:E118)</f>
        <v>5.053899570086004E-2</v>
      </c>
      <c r="I116" s="22" t="s">
        <v>87</v>
      </c>
      <c r="J116" s="23"/>
      <c r="K116" s="23"/>
    </row>
    <row r="117" spans="1:11" x14ac:dyDescent="0.25">
      <c r="A117" s="12" t="s">
        <v>28</v>
      </c>
      <c r="B117" s="12">
        <v>45</v>
      </c>
      <c r="C117" s="12">
        <v>1</v>
      </c>
      <c r="D117" s="12">
        <v>3.2</v>
      </c>
      <c r="E117" s="2">
        <v>1429240</v>
      </c>
      <c r="F117" s="16">
        <v>107946</v>
      </c>
      <c r="G117" s="1">
        <f t="shared" si="21"/>
        <v>7.5526853432593549E-2</v>
      </c>
      <c r="H117" s="23"/>
      <c r="I117" s="22"/>
      <c r="J117" s="23"/>
      <c r="K117" s="23"/>
    </row>
    <row r="118" spans="1:11" x14ac:dyDescent="0.25">
      <c r="A118" s="12" t="s">
        <v>28</v>
      </c>
      <c r="B118" s="12">
        <v>45</v>
      </c>
      <c r="C118" s="12">
        <v>1</v>
      </c>
      <c r="D118" s="12">
        <v>3.3</v>
      </c>
      <c r="E118" s="2">
        <v>1691858</v>
      </c>
      <c r="F118" s="16">
        <v>52130</v>
      </c>
      <c r="G118" s="1">
        <f t="shared" si="21"/>
        <v>3.0812278571842319E-2</v>
      </c>
      <c r="H118" s="23"/>
      <c r="I118" s="22"/>
      <c r="J118" s="23"/>
      <c r="K118" s="23"/>
    </row>
    <row r="119" spans="1:11" x14ac:dyDescent="0.25">
      <c r="A119" s="12" t="s">
        <v>30</v>
      </c>
      <c r="B119" s="12">
        <v>45</v>
      </c>
      <c r="C119" s="12">
        <v>1</v>
      </c>
      <c r="D119" s="12">
        <v>1.1000000000000001</v>
      </c>
      <c r="E119" s="2">
        <v>1111926</v>
      </c>
      <c r="F119" s="16">
        <v>0</v>
      </c>
      <c r="G119" s="1">
        <f t="shared" si="21"/>
        <v>0</v>
      </c>
      <c r="H119" s="23">
        <f t="shared" ref="H119" si="41">(SUM(F119:F121))/SUM(E119:E121)</f>
        <v>2.590090060143806E-4</v>
      </c>
      <c r="I119" s="22" t="s">
        <v>86</v>
      </c>
      <c r="J119" s="23">
        <f t="shared" ref="J119" si="42">AVERAGE(G119:G127)</f>
        <v>2.276991178065766E-2</v>
      </c>
      <c r="K119" s="23"/>
    </row>
    <row r="120" spans="1:11" x14ac:dyDescent="0.25">
      <c r="A120" s="12" t="s">
        <v>30</v>
      </c>
      <c r="B120" s="12">
        <v>45</v>
      </c>
      <c r="C120" s="12">
        <v>1</v>
      </c>
      <c r="D120" s="12">
        <v>1.2</v>
      </c>
      <c r="E120" s="2">
        <v>1212849</v>
      </c>
      <c r="F120" s="16">
        <v>974</v>
      </c>
      <c r="G120" s="1">
        <f t="shared" si="21"/>
        <v>8.0306781800537413E-4</v>
      </c>
      <c r="H120" s="23"/>
      <c r="I120" s="22"/>
      <c r="J120" s="23"/>
      <c r="K120" s="23"/>
    </row>
    <row r="121" spans="1:11" x14ac:dyDescent="0.25">
      <c r="A121" s="12" t="s">
        <v>30</v>
      </c>
      <c r="B121" s="12">
        <v>45</v>
      </c>
      <c r="C121" s="12">
        <v>1</v>
      </c>
      <c r="D121" s="12">
        <v>1.3</v>
      </c>
      <c r="E121" s="2">
        <v>1435712</v>
      </c>
      <c r="F121" s="16">
        <v>0</v>
      </c>
      <c r="G121" s="1">
        <f t="shared" si="21"/>
        <v>0</v>
      </c>
      <c r="H121" s="23"/>
      <c r="I121" s="22"/>
      <c r="J121" s="23"/>
      <c r="K121" s="23"/>
    </row>
    <row r="122" spans="1:11" x14ac:dyDescent="0.25">
      <c r="A122" s="12" t="s">
        <v>30</v>
      </c>
      <c r="B122" s="12">
        <v>45</v>
      </c>
      <c r="C122" s="12">
        <v>1</v>
      </c>
      <c r="D122" s="12">
        <v>2.1</v>
      </c>
      <c r="E122" s="2">
        <v>1746534</v>
      </c>
      <c r="F122" s="16">
        <f>88027+3380+19739+690</f>
        <v>111836</v>
      </c>
      <c r="G122" s="1">
        <f t="shared" si="21"/>
        <v>6.4033107858192287E-2</v>
      </c>
      <c r="H122" s="23">
        <f t="shared" ref="H122" si="43">(SUM(F122:F124))/SUM(E122:E124)</f>
        <v>5.0881720593422136E-2</v>
      </c>
      <c r="I122" s="22" t="s">
        <v>87</v>
      </c>
      <c r="J122" s="23"/>
      <c r="K122" s="23"/>
    </row>
    <row r="123" spans="1:11" x14ac:dyDescent="0.25">
      <c r="A123" s="12" t="s">
        <v>30</v>
      </c>
      <c r="B123" s="12">
        <v>45</v>
      </c>
      <c r="C123" s="12">
        <v>1</v>
      </c>
      <c r="D123" s="12">
        <v>2.2000000000000002</v>
      </c>
      <c r="E123" s="2">
        <v>1619826</v>
      </c>
      <c r="F123" s="16">
        <v>70717</v>
      </c>
      <c r="G123" s="1">
        <f t="shared" si="21"/>
        <v>4.3657158237983586E-2</v>
      </c>
      <c r="H123" s="23"/>
      <c r="I123" s="22"/>
      <c r="J123" s="23"/>
      <c r="K123" s="23"/>
    </row>
    <row r="124" spans="1:11" x14ac:dyDescent="0.25">
      <c r="A124" s="12" t="s">
        <v>30</v>
      </c>
      <c r="B124" s="12">
        <v>45</v>
      </c>
      <c r="C124" s="12">
        <v>1</v>
      </c>
      <c r="D124" s="12">
        <v>2.2999999999999998</v>
      </c>
      <c r="E124" s="2">
        <v>1374144</v>
      </c>
      <c r="F124" s="16">
        <v>58652</v>
      </c>
      <c r="G124" s="1">
        <f t="shared" si="21"/>
        <v>4.268257184108798E-2</v>
      </c>
      <c r="H124" s="23"/>
      <c r="I124" s="22"/>
      <c r="J124" s="23"/>
      <c r="K124" s="23"/>
    </row>
    <row r="125" spans="1:11" x14ac:dyDescent="0.25">
      <c r="A125" s="12" t="s">
        <v>30</v>
      </c>
      <c r="B125" s="12">
        <v>45</v>
      </c>
      <c r="C125" s="12">
        <v>1</v>
      </c>
      <c r="D125" s="12">
        <v>3.1</v>
      </c>
      <c r="E125" s="2">
        <v>901421</v>
      </c>
      <c r="F125" s="16">
        <v>13263</v>
      </c>
      <c r="G125" s="1">
        <f t="shared" si="21"/>
        <v>1.4713435786386161E-2</v>
      </c>
      <c r="H125" s="23">
        <f t="shared" ref="H125" si="44">(SUM(F125:F127))/SUM(E125:E127)</f>
        <v>1.7861149389276295E-2</v>
      </c>
      <c r="I125" s="22" t="s">
        <v>87</v>
      </c>
      <c r="J125" s="23"/>
      <c r="K125" s="23"/>
    </row>
    <row r="126" spans="1:11" x14ac:dyDescent="0.25">
      <c r="A126" s="12" t="s">
        <v>30</v>
      </c>
      <c r="B126" s="12">
        <v>45</v>
      </c>
      <c r="C126" s="12">
        <v>1</v>
      </c>
      <c r="D126" s="12">
        <v>3.2</v>
      </c>
      <c r="E126" s="2">
        <v>823660</v>
      </c>
      <c r="F126" s="16">
        <f>14638+3693</f>
        <v>18331</v>
      </c>
      <c r="G126" s="1">
        <f t="shared" si="21"/>
        <v>2.2255542335429666E-2</v>
      </c>
      <c r="H126" s="23"/>
      <c r="I126" s="22"/>
      <c r="J126" s="23"/>
      <c r="K126" s="23"/>
    </row>
    <row r="127" spans="1:11" x14ac:dyDescent="0.25">
      <c r="A127" s="12" t="s">
        <v>30</v>
      </c>
      <c r="B127" s="12">
        <v>45</v>
      </c>
      <c r="C127" s="12">
        <v>1</v>
      </c>
      <c r="D127" s="12">
        <v>3.3</v>
      </c>
      <c r="E127" s="2">
        <v>726273</v>
      </c>
      <c r="F127" s="16">
        <f>11655+535</f>
        <v>12190</v>
      </c>
      <c r="G127" s="1">
        <f t="shared" si="21"/>
        <v>1.6784322148833842E-2</v>
      </c>
      <c r="H127" s="23"/>
      <c r="I127" s="22"/>
      <c r="J127" s="23"/>
      <c r="K127" s="23"/>
    </row>
    <row r="128" spans="1:11" x14ac:dyDescent="0.25">
      <c r="A128" s="12" t="s">
        <v>29</v>
      </c>
      <c r="B128" s="12">
        <v>45</v>
      </c>
      <c r="C128" s="12">
        <v>1</v>
      </c>
      <c r="D128" s="12">
        <v>1.1000000000000001</v>
      </c>
      <c r="E128" s="2">
        <v>1601111</v>
      </c>
      <c r="F128" s="16">
        <f>391+312+854+89</f>
        <v>1646</v>
      </c>
      <c r="G128" s="1">
        <f t="shared" si="21"/>
        <v>1.0280361573932102E-3</v>
      </c>
      <c r="H128" s="23">
        <f t="shared" ref="H128" si="45">(SUM(F128:F130))/SUM(E128:E130)</f>
        <v>5.8348024658830587E-3</v>
      </c>
      <c r="I128" s="22" t="s">
        <v>86</v>
      </c>
      <c r="J128" s="23">
        <f t="shared" ref="J128" si="46">AVERAGE(G128:G136)</f>
        <v>3.7405365388681333E-2</v>
      </c>
      <c r="K128" s="23"/>
    </row>
    <row r="129" spans="1:11" x14ac:dyDescent="0.25">
      <c r="A129" s="12" t="s">
        <v>29</v>
      </c>
      <c r="B129" s="12">
        <v>45</v>
      </c>
      <c r="C129" s="12">
        <v>1</v>
      </c>
      <c r="D129" s="12">
        <v>1.2</v>
      </c>
      <c r="E129" s="2">
        <v>1358471</v>
      </c>
      <c r="F129" s="16">
        <v>21223</v>
      </c>
      <c r="G129" s="1">
        <f t="shared" si="21"/>
        <v>1.5622711121547681E-2</v>
      </c>
      <c r="H129" s="23"/>
      <c r="I129" s="22"/>
      <c r="J129" s="23"/>
      <c r="K129" s="23"/>
    </row>
    <row r="130" spans="1:11" x14ac:dyDescent="0.25">
      <c r="A130" s="12" t="s">
        <v>29</v>
      </c>
      <c r="B130" s="12">
        <v>45</v>
      </c>
      <c r="C130" s="12">
        <v>1</v>
      </c>
      <c r="D130" s="12">
        <v>1.3</v>
      </c>
      <c r="E130" s="2">
        <v>1465932</v>
      </c>
      <c r="F130" s="16">
        <v>2953</v>
      </c>
      <c r="G130" s="1">
        <f t="shared" ref="G130:G193" si="47">F130/E130</f>
        <v>2.0144181312639329E-3</v>
      </c>
      <c r="H130" s="23"/>
      <c r="I130" s="22"/>
      <c r="J130" s="23"/>
      <c r="K130" s="23"/>
    </row>
    <row r="131" spans="1:11" x14ac:dyDescent="0.25">
      <c r="A131" s="12" t="s">
        <v>29</v>
      </c>
      <c r="B131" s="12">
        <v>45</v>
      </c>
      <c r="C131" s="12">
        <v>1</v>
      </c>
      <c r="D131" s="12">
        <v>2.1</v>
      </c>
      <c r="E131" s="2">
        <v>1319142</v>
      </c>
      <c r="F131" s="16">
        <v>17705</v>
      </c>
      <c r="G131" s="1">
        <f t="shared" si="47"/>
        <v>1.3421602829718104E-2</v>
      </c>
      <c r="H131" s="23">
        <f t="shared" ref="H131" si="48">(SUM(F131:F133))/SUM(E131:E133)</f>
        <v>8.0795854152099951E-3</v>
      </c>
      <c r="I131" s="22" t="s">
        <v>86</v>
      </c>
      <c r="J131" s="23"/>
      <c r="K131" s="23"/>
    </row>
    <row r="132" spans="1:11" x14ac:dyDescent="0.25">
      <c r="A132" s="12" t="s">
        <v>29</v>
      </c>
      <c r="B132" s="12">
        <v>45</v>
      </c>
      <c r="C132" s="12">
        <v>1</v>
      </c>
      <c r="D132" s="12">
        <v>2.2000000000000002</v>
      </c>
      <c r="E132" s="2">
        <v>1254716</v>
      </c>
      <c r="F132" s="16">
        <v>9329</v>
      </c>
      <c r="G132" s="1">
        <f t="shared" si="47"/>
        <v>7.4351486710936979E-3</v>
      </c>
      <c r="H132" s="23"/>
      <c r="I132" s="22"/>
      <c r="J132" s="23"/>
      <c r="K132" s="23"/>
    </row>
    <row r="133" spans="1:11" x14ac:dyDescent="0.25">
      <c r="A133" s="12" t="s">
        <v>29</v>
      </c>
      <c r="B133" s="12">
        <v>45</v>
      </c>
      <c r="C133" s="12">
        <v>1</v>
      </c>
      <c r="D133" s="12">
        <v>2.2999999999999998</v>
      </c>
      <c r="E133" s="2">
        <v>1128931</v>
      </c>
      <c r="F133" s="16">
        <v>2883</v>
      </c>
      <c r="G133" s="1">
        <f t="shared" si="47"/>
        <v>2.5537433200080429E-3</v>
      </c>
      <c r="H133" s="23"/>
      <c r="I133" s="22"/>
      <c r="J133" s="23"/>
      <c r="K133" s="23"/>
    </row>
    <row r="134" spans="1:11" x14ac:dyDescent="0.25">
      <c r="A134" s="12" t="s">
        <v>29</v>
      </c>
      <c r="B134" s="12">
        <v>45</v>
      </c>
      <c r="C134" s="12">
        <v>1</v>
      </c>
      <c r="D134" s="12">
        <v>3.1</v>
      </c>
      <c r="E134" s="2">
        <v>1707397</v>
      </c>
      <c r="F134" s="16">
        <f>6432+4799+6637+17612+32883+408</f>
        <v>68771</v>
      </c>
      <c r="G134" s="1">
        <f t="shared" si="47"/>
        <v>4.027827154434499E-2</v>
      </c>
      <c r="H134" s="23">
        <f t="shared" ref="H134" si="49">(SUM(F134:F136))/SUM(E134:E136)</f>
        <v>9.2011848097427323E-2</v>
      </c>
      <c r="I134" s="22" t="s">
        <v>87</v>
      </c>
      <c r="J134" s="23"/>
      <c r="K134" s="23"/>
    </row>
    <row r="135" spans="1:11" x14ac:dyDescent="0.25">
      <c r="A135" s="12" t="s">
        <v>29</v>
      </c>
      <c r="B135" s="12">
        <v>45</v>
      </c>
      <c r="C135" s="12">
        <v>1</v>
      </c>
      <c r="D135" s="12">
        <v>3.2</v>
      </c>
      <c r="E135" s="2">
        <v>1287129</v>
      </c>
      <c r="F135" s="16">
        <v>217012</v>
      </c>
      <c r="G135" s="1">
        <f t="shared" si="47"/>
        <v>0.16860159315810613</v>
      </c>
      <c r="H135" s="23"/>
      <c r="I135" s="22"/>
      <c r="J135" s="23"/>
      <c r="K135" s="23"/>
    </row>
    <row r="136" spans="1:11" x14ac:dyDescent="0.25">
      <c r="A136" s="12" t="s">
        <v>29</v>
      </c>
      <c r="B136" s="12">
        <v>45</v>
      </c>
      <c r="C136" s="12">
        <v>1</v>
      </c>
      <c r="D136" s="12">
        <v>3.3</v>
      </c>
      <c r="E136" s="2">
        <v>1622249</v>
      </c>
      <c r="F136" s="16">
        <f>94047+14570+1935+4835+10277+9191+4160</f>
        <v>139015</v>
      </c>
      <c r="G136" s="1">
        <f t="shared" si="47"/>
        <v>8.569276356465623E-2</v>
      </c>
      <c r="H136" s="23"/>
      <c r="I136" s="22"/>
      <c r="J136" s="23"/>
      <c r="K136" s="23"/>
    </row>
    <row r="137" spans="1:11" x14ac:dyDescent="0.25">
      <c r="A137" s="12" t="s">
        <v>78</v>
      </c>
      <c r="B137" s="12">
        <v>5</v>
      </c>
      <c r="C137" s="12">
        <v>2</v>
      </c>
      <c r="D137" s="12">
        <v>1.1000000000000001</v>
      </c>
      <c r="E137" s="2">
        <v>535438</v>
      </c>
      <c r="F137" s="16">
        <f>3678+2340+184+365</f>
        <v>6567</v>
      </c>
      <c r="G137" s="1">
        <f t="shared" si="47"/>
        <v>1.226472532767566E-2</v>
      </c>
      <c r="H137" s="23">
        <f t="shared" ref="H137" si="50">(SUM(F137:F139))/SUM(E137:E139)</f>
        <v>1.349630649778495E-2</v>
      </c>
      <c r="I137" s="22" t="s">
        <v>87</v>
      </c>
      <c r="J137" s="23">
        <f t="shared" ref="J137" si="51">AVERAGE(G138:G145)</f>
        <v>8.7409375224943228E-3</v>
      </c>
      <c r="K137" s="23">
        <f>AVERAGE(G137:G163)</f>
        <v>1.5804352889728018E-2</v>
      </c>
    </row>
    <row r="138" spans="1:11" x14ac:dyDescent="0.25">
      <c r="A138" s="12" t="s">
        <v>78</v>
      </c>
      <c r="B138" s="12">
        <v>5</v>
      </c>
      <c r="C138" s="12">
        <v>2</v>
      </c>
      <c r="D138" s="12">
        <v>1.2</v>
      </c>
      <c r="E138" s="2">
        <v>832979</v>
      </c>
      <c r="F138" s="16">
        <v>2473</v>
      </c>
      <c r="G138" s="1">
        <f t="shared" si="47"/>
        <v>2.9688623602755894E-3</v>
      </c>
      <c r="H138" s="23"/>
      <c r="I138" s="22"/>
      <c r="J138" s="23"/>
      <c r="K138" s="23"/>
    </row>
    <row r="139" spans="1:11" x14ac:dyDescent="0.25">
      <c r="A139" s="12" t="s">
        <v>78</v>
      </c>
      <c r="B139" s="12">
        <v>5</v>
      </c>
      <c r="C139" s="12">
        <v>2</v>
      </c>
      <c r="D139" s="12">
        <v>1.3</v>
      </c>
      <c r="E139" s="2">
        <v>913022</v>
      </c>
      <c r="F139" s="16">
        <f>16458+5293</f>
        <v>21751</v>
      </c>
      <c r="G139" s="1">
        <f t="shared" si="47"/>
        <v>2.3823084219219252E-2</v>
      </c>
      <c r="H139" s="23"/>
      <c r="I139" s="22"/>
      <c r="J139" s="23"/>
      <c r="K139" s="23"/>
    </row>
    <row r="140" spans="1:11" x14ac:dyDescent="0.25">
      <c r="A140" s="12" t="s">
        <v>78</v>
      </c>
      <c r="B140" s="12">
        <v>5</v>
      </c>
      <c r="C140" s="12">
        <v>2</v>
      </c>
      <c r="D140" s="12">
        <v>2.1</v>
      </c>
      <c r="E140" s="2">
        <v>1593709</v>
      </c>
      <c r="F140" s="16">
        <v>18237</v>
      </c>
      <c r="G140" s="1">
        <f t="shared" si="47"/>
        <v>1.1443117909229351E-2</v>
      </c>
      <c r="H140" s="23">
        <f t="shared" ref="H140" si="52">(SUM(F140:F142))/SUM(E140:E142)</f>
        <v>1.3866196600730621E-2</v>
      </c>
      <c r="I140" s="22" t="s">
        <v>87</v>
      </c>
      <c r="J140" s="23"/>
      <c r="K140" s="23"/>
    </row>
    <row r="141" spans="1:11" x14ac:dyDescent="0.25">
      <c r="A141" s="12" t="s">
        <v>78</v>
      </c>
      <c r="B141" s="12">
        <v>5</v>
      </c>
      <c r="C141" s="12">
        <v>2</v>
      </c>
      <c r="D141" s="12">
        <v>2.2000000000000002</v>
      </c>
      <c r="E141" s="2">
        <v>1367185</v>
      </c>
      <c r="F141" s="16">
        <f>29825+1544</f>
        <v>31369</v>
      </c>
      <c r="G141" s="1">
        <f t="shared" si="47"/>
        <v>2.2944224812296798E-2</v>
      </c>
      <c r="H141" s="23"/>
      <c r="I141" s="22"/>
      <c r="J141" s="23"/>
      <c r="K141" s="23"/>
    </row>
    <row r="142" spans="1:11" x14ac:dyDescent="0.25">
      <c r="A142" s="12" t="s">
        <v>78</v>
      </c>
      <c r="B142" s="12">
        <v>5</v>
      </c>
      <c r="C142" s="12">
        <v>2</v>
      </c>
      <c r="D142" s="12">
        <v>2.2999999999999998</v>
      </c>
      <c r="E142" s="2">
        <v>1670513</v>
      </c>
      <c r="F142" s="16">
        <v>14614</v>
      </c>
      <c r="G142" s="1">
        <f t="shared" si="47"/>
        <v>8.7482108789335971E-3</v>
      </c>
      <c r="H142" s="23"/>
      <c r="I142" s="22"/>
      <c r="J142" s="23"/>
      <c r="K142" s="23"/>
    </row>
    <row r="143" spans="1:11" x14ac:dyDescent="0.25">
      <c r="A143" s="12" t="s">
        <v>78</v>
      </c>
      <c r="B143" s="12">
        <v>5</v>
      </c>
      <c r="C143" s="12">
        <v>2</v>
      </c>
      <c r="D143" s="12">
        <v>3.1</v>
      </c>
      <c r="E143" s="2">
        <v>2150719</v>
      </c>
      <c r="F143" s="16">
        <v>0</v>
      </c>
      <c r="G143" s="1">
        <f t="shared" si="47"/>
        <v>0</v>
      </c>
      <c r="H143" s="23">
        <f t="shared" ref="H143" si="53">(SUM(F143:F145))/SUM(E143:E145)</f>
        <v>0</v>
      </c>
      <c r="I143" s="22" t="s">
        <v>87</v>
      </c>
      <c r="J143" s="23"/>
      <c r="K143" s="23"/>
    </row>
    <row r="144" spans="1:11" x14ac:dyDescent="0.25">
      <c r="A144" s="12" t="s">
        <v>78</v>
      </c>
      <c r="B144" s="12">
        <v>5</v>
      </c>
      <c r="C144" s="12">
        <v>2</v>
      </c>
      <c r="D144" s="12">
        <v>3.2</v>
      </c>
      <c r="E144" s="2">
        <v>1764932</v>
      </c>
      <c r="F144" s="16">
        <v>0</v>
      </c>
      <c r="G144" s="1">
        <f t="shared" si="47"/>
        <v>0</v>
      </c>
      <c r="H144" s="23"/>
      <c r="I144" s="22"/>
      <c r="J144" s="23"/>
      <c r="K144" s="23"/>
    </row>
    <row r="145" spans="1:11" x14ac:dyDescent="0.25">
      <c r="A145" s="12" t="s">
        <v>78</v>
      </c>
      <c r="B145" s="12">
        <v>5</v>
      </c>
      <c r="C145" s="12">
        <v>2</v>
      </c>
      <c r="D145" s="12">
        <v>3.3</v>
      </c>
      <c r="E145" s="2">
        <v>1649149</v>
      </c>
      <c r="F145" s="16">
        <v>0</v>
      </c>
      <c r="G145" s="1">
        <f t="shared" si="47"/>
        <v>0</v>
      </c>
      <c r="H145" s="23"/>
      <c r="I145" s="22"/>
      <c r="J145" s="23"/>
      <c r="K145" s="23"/>
    </row>
    <row r="146" spans="1:11" x14ac:dyDescent="0.25">
      <c r="A146" s="12" t="s">
        <v>76</v>
      </c>
      <c r="B146" s="12">
        <v>5</v>
      </c>
      <c r="C146" s="12">
        <v>2</v>
      </c>
      <c r="D146" s="12">
        <v>1.1000000000000001</v>
      </c>
      <c r="E146" s="2">
        <v>730763</v>
      </c>
      <c r="F146" s="16">
        <f>15045+13715</f>
        <v>28760</v>
      </c>
      <c r="G146" s="1">
        <f t="shared" si="47"/>
        <v>3.9356125036434521E-2</v>
      </c>
      <c r="H146" s="23">
        <f t="shared" ref="H146" si="54">(SUM(F146:F148))/SUM(E146:E148)</f>
        <v>8.6130808826176158E-2</v>
      </c>
      <c r="I146" s="22" t="s">
        <v>87</v>
      </c>
      <c r="J146" s="23">
        <f t="shared" ref="J146" si="55">AVERAGE(G146:G154)</f>
        <v>3.3535689399693508E-2</v>
      </c>
      <c r="K146" s="23"/>
    </row>
    <row r="147" spans="1:11" x14ac:dyDescent="0.25">
      <c r="A147" s="12" t="s">
        <v>76</v>
      </c>
      <c r="B147" s="12">
        <v>5</v>
      </c>
      <c r="C147" s="12">
        <v>2</v>
      </c>
      <c r="D147" s="12">
        <v>1.2</v>
      </c>
      <c r="E147" s="2">
        <v>930794</v>
      </c>
      <c r="F147" s="16">
        <f>37727+55100+11037</f>
        <v>103864</v>
      </c>
      <c r="G147" s="1">
        <f t="shared" si="47"/>
        <v>0.11158645199689728</v>
      </c>
      <c r="H147" s="23"/>
      <c r="I147" s="22"/>
      <c r="J147" s="23"/>
      <c r="K147" s="23"/>
    </row>
    <row r="148" spans="1:11" x14ac:dyDescent="0.25">
      <c r="A148" s="12" t="s">
        <v>76</v>
      </c>
      <c r="B148" s="12">
        <v>5</v>
      </c>
      <c r="C148" s="12">
        <v>2</v>
      </c>
      <c r="D148" s="12">
        <v>1.3</v>
      </c>
      <c r="E148" s="2">
        <v>1255448</v>
      </c>
      <c r="F148" s="16">
        <v>118620</v>
      </c>
      <c r="G148" s="1">
        <f t="shared" si="47"/>
        <v>9.4484200062447829E-2</v>
      </c>
      <c r="H148" s="23"/>
      <c r="I148" s="22"/>
      <c r="J148" s="23"/>
      <c r="K148" s="23"/>
    </row>
    <row r="149" spans="1:11" x14ac:dyDescent="0.25">
      <c r="A149" s="12" t="s">
        <v>76</v>
      </c>
      <c r="B149" s="12">
        <v>5</v>
      </c>
      <c r="C149" s="12">
        <v>2</v>
      </c>
      <c r="D149" s="12">
        <v>2.1</v>
      </c>
      <c r="E149" s="2">
        <v>1838869</v>
      </c>
      <c r="F149" s="16">
        <f>45431+551</f>
        <v>45982</v>
      </c>
      <c r="G149" s="1">
        <f t="shared" si="47"/>
        <v>2.5005587673727708E-2</v>
      </c>
      <c r="H149" s="23">
        <f t="shared" ref="H149" si="56">(SUM(F149:F151))/SUM(E149:E151)</f>
        <v>1.8709567601635928E-2</v>
      </c>
      <c r="I149" s="22" t="s">
        <v>87</v>
      </c>
      <c r="J149" s="23"/>
      <c r="K149" s="23"/>
    </row>
    <row r="150" spans="1:11" x14ac:dyDescent="0.25">
      <c r="A150" s="12" t="s">
        <v>76</v>
      </c>
      <c r="B150" s="12">
        <v>5</v>
      </c>
      <c r="C150" s="12">
        <v>2</v>
      </c>
      <c r="D150" s="12">
        <v>2.2000000000000002</v>
      </c>
      <c r="E150" s="2">
        <v>1545818</v>
      </c>
      <c r="F150" s="16">
        <v>14710</v>
      </c>
      <c r="G150" s="1">
        <f t="shared" si="47"/>
        <v>9.5159973554454665E-3</v>
      </c>
      <c r="H150" s="23"/>
      <c r="I150" s="22"/>
      <c r="J150" s="23"/>
      <c r="K150" s="23"/>
    </row>
    <row r="151" spans="1:11" x14ac:dyDescent="0.25">
      <c r="A151" s="12" t="s">
        <v>76</v>
      </c>
      <c r="B151" s="12">
        <v>5</v>
      </c>
      <c r="C151" s="12">
        <v>2</v>
      </c>
      <c r="D151" s="12">
        <v>2.2999999999999998</v>
      </c>
      <c r="E151" s="2">
        <v>2049538</v>
      </c>
      <c r="F151" s="16">
        <v>40980</v>
      </c>
      <c r="G151" s="1">
        <f t="shared" si="47"/>
        <v>1.9994750036349655E-2</v>
      </c>
      <c r="H151" s="23"/>
      <c r="I151" s="22"/>
      <c r="J151" s="23"/>
      <c r="K151" s="23"/>
    </row>
    <row r="152" spans="1:11" x14ac:dyDescent="0.25">
      <c r="A152" s="12" t="s">
        <v>76</v>
      </c>
      <c r="B152" s="12">
        <v>5</v>
      </c>
      <c r="C152" s="12">
        <v>2</v>
      </c>
      <c r="D152" s="12">
        <v>3.1</v>
      </c>
      <c r="E152" s="2">
        <v>2066911</v>
      </c>
      <c r="F152" s="16">
        <v>2379</v>
      </c>
      <c r="G152" s="1">
        <f t="shared" si="47"/>
        <v>1.1509929551877173E-3</v>
      </c>
      <c r="H152" s="23">
        <f t="shared" ref="H152" si="57">(SUM(F152:F154))/SUM(E152:E154)</f>
        <v>6.4786998333060501E-4</v>
      </c>
      <c r="I152" s="22" t="s">
        <v>86</v>
      </c>
      <c r="J152" s="23"/>
      <c r="K152" s="23"/>
    </row>
    <row r="153" spans="1:11" x14ac:dyDescent="0.25">
      <c r="A153" s="12" t="s">
        <v>76</v>
      </c>
      <c r="B153" s="12">
        <v>5</v>
      </c>
      <c r="C153" s="12">
        <v>2</v>
      </c>
      <c r="D153" s="12">
        <v>3.2</v>
      </c>
      <c r="E153" s="2">
        <v>1652947</v>
      </c>
      <c r="F153" s="16">
        <v>753</v>
      </c>
      <c r="G153" s="1">
        <f t="shared" si="47"/>
        <v>4.5554999646086654E-4</v>
      </c>
      <c r="H153" s="23"/>
      <c r="I153" s="22"/>
      <c r="J153" s="23"/>
      <c r="K153" s="23"/>
    </row>
    <row r="154" spans="1:11" x14ac:dyDescent="0.25">
      <c r="A154" s="12" t="s">
        <v>76</v>
      </c>
      <c r="B154" s="12">
        <v>5</v>
      </c>
      <c r="C154" s="12">
        <v>2</v>
      </c>
      <c r="D154" s="12">
        <v>3.3</v>
      </c>
      <c r="E154" s="2">
        <v>1918619</v>
      </c>
      <c r="F154" s="16">
        <v>521</v>
      </c>
      <c r="G154" s="1">
        <f t="shared" si="47"/>
        <v>2.7154948429052353E-4</v>
      </c>
      <c r="H154" s="23"/>
      <c r="I154" s="22"/>
      <c r="J154" s="23"/>
      <c r="K154" s="23"/>
    </row>
    <row r="155" spans="1:11" x14ac:dyDescent="0.25">
      <c r="A155" s="12" t="s">
        <v>77</v>
      </c>
      <c r="B155" s="12">
        <v>5</v>
      </c>
      <c r="C155" s="12">
        <v>2</v>
      </c>
      <c r="D155" s="12">
        <v>1.1000000000000001</v>
      </c>
      <c r="E155" s="2">
        <v>1313190</v>
      </c>
      <c r="F155" s="16">
        <f>1685+306</f>
        <v>1991</v>
      </c>
      <c r="G155" s="1">
        <f t="shared" si="47"/>
        <v>1.5161553164431652E-3</v>
      </c>
      <c r="H155" s="23">
        <f t="shared" ref="H155" si="58">(SUM(F155:F157))/SUM(E155:E157)</f>
        <v>1.4153808851516561E-3</v>
      </c>
      <c r="I155" s="22" t="s">
        <v>87</v>
      </c>
      <c r="J155" s="23">
        <f t="shared" ref="J155" si="59">AVERAGE(G155:G163)</f>
        <v>4.744899768642747E-3</v>
      </c>
      <c r="K155" s="23"/>
    </row>
    <row r="156" spans="1:11" x14ac:dyDescent="0.25">
      <c r="A156" s="12" t="s">
        <v>77</v>
      </c>
      <c r="B156" s="12">
        <v>5</v>
      </c>
      <c r="C156" s="12">
        <v>2</v>
      </c>
      <c r="D156" s="12">
        <v>1.2</v>
      </c>
      <c r="E156" s="2">
        <v>1955726</v>
      </c>
      <c r="F156" s="16">
        <v>1199</v>
      </c>
      <c r="G156" s="1">
        <f t="shared" si="47"/>
        <v>6.1307156523971145E-4</v>
      </c>
      <c r="H156" s="23"/>
      <c r="I156" s="22"/>
      <c r="J156" s="23"/>
      <c r="K156" s="23"/>
    </row>
    <row r="157" spans="1:11" x14ac:dyDescent="0.25">
      <c r="A157" s="12" t="s">
        <v>77</v>
      </c>
      <c r="B157" s="12">
        <v>5</v>
      </c>
      <c r="C157" s="12">
        <v>2</v>
      </c>
      <c r="D157" s="12">
        <v>1.3</v>
      </c>
      <c r="E157" s="2">
        <v>2059685</v>
      </c>
      <c r="F157" s="16">
        <v>4352</v>
      </c>
      <c r="G157" s="1">
        <f t="shared" si="47"/>
        <v>2.1129444550987164E-3</v>
      </c>
      <c r="H157" s="23"/>
      <c r="I157" s="22"/>
      <c r="J157" s="23"/>
      <c r="K157" s="23"/>
    </row>
    <row r="158" spans="1:11" x14ac:dyDescent="0.25">
      <c r="A158" s="12" t="s">
        <v>77</v>
      </c>
      <c r="B158" s="12">
        <v>5</v>
      </c>
      <c r="C158" s="12">
        <v>2</v>
      </c>
      <c r="D158" s="12">
        <v>2.1</v>
      </c>
      <c r="E158" s="2">
        <v>628211</v>
      </c>
      <c r="F158" s="16">
        <v>5730</v>
      </c>
      <c r="G158" s="1">
        <f t="shared" si="47"/>
        <v>9.1211392350659254E-3</v>
      </c>
      <c r="H158" s="23">
        <f t="shared" ref="H158" si="60">(SUM(F158:F160))/SUM(E158:E160)</f>
        <v>5.897575706235586E-3</v>
      </c>
      <c r="I158" s="22" t="s">
        <v>87</v>
      </c>
      <c r="J158" s="23"/>
      <c r="K158" s="23"/>
    </row>
    <row r="159" spans="1:11" x14ac:dyDescent="0.25">
      <c r="A159" s="12" t="s">
        <v>77</v>
      </c>
      <c r="B159" s="12">
        <v>5</v>
      </c>
      <c r="C159" s="12">
        <v>2</v>
      </c>
      <c r="D159" s="12">
        <v>2.2000000000000002</v>
      </c>
      <c r="E159" s="2">
        <v>641235</v>
      </c>
      <c r="F159" s="16">
        <v>4156</v>
      </c>
      <c r="G159" s="1">
        <f t="shared" si="47"/>
        <v>6.4812432259624009E-3</v>
      </c>
      <c r="H159" s="23"/>
      <c r="I159" s="22"/>
      <c r="J159" s="23"/>
      <c r="K159" s="23"/>
    </row>
    <row r="160" spans="1:11" x14ac:dyDescent="0.25">
      <c r="A160" s="12" t="s">
        <v>77</v>
      </c>
      <c r="B160" s="12">
        <v>5</v>
      </c>
      <c r="C160" s="12">
        <v>2</v>
      </c>
      <c r="D160" s="12">
        <v>2.2999999999999998</v>
      </c>
      <c r="E160" s="2">
        <v>406836</v>
      </c>
      <c r="F160" s="16">
        <v>0</v>
      </c>
      <c r="G160" s="1">
        <f t="shared" si="47"/>
        <v>0</v>
      </c>
      <c r="H160" s="23"/>
      <c r="I160" s="22"/>
      <c r="J160" s="23"/>
      <c r="K160" s="23"/>
    </row>
    <row r="161" spans="1:11" x14ac:dyDescent="0.25">
      <c r="A161" s="12" t="s">
        <v>77</v>
      </c>
      <c r="B161" s="12">
        <v>5</v>
      </c>
      <c r="C161" s="12">
        <v>2</v>
      </c>
      <c r="D161" s="12">
        <v>3.1</v>
      </c>
      <c r="E161" s="2">
        <v>917130</v>
      </c>
      <c r="F161" s="16">
        <v>15120</v>
      </c>
      <c r="G161" s="1">
        <f t="shared" si="47"/>
        <v>1.6486212423538649E-2</v>
      </c>
      <c r="H161" s="23">
        <f t="shared" ref="H161" si="61">(SUM(F161:F163))/SUM(E161:E163)</f>
        <v>6.4541742377910343E-3</v>
      </c>
      <c r="I161" s="22" t="s">
        <v>87</v>
      </c>
      <c r="J161" s="23"/>
      <c r="K161" s="23"/>
    </row>
    <row r="162" spans="1:11" x14ac:dyDescent="0.25">
      <c r="A162" s="12" t="s">
        <v>77</v>
      </c>
      <c r="B162" s="12">
        <v>5</v>
      </c>
      <c r="C162" s="12">
        <v>2</v>
      </c>
      <c r="D162" s="12">
        <v>3.2</v>
      </c>
      <c r="E162" s="2">
        <v>1405209</v>
      </c>
      <c r="F162" s="16">
        <f>4018+466</f>
        <v>4484</v>
      </c>
      <c r="G162" s="1">
        <f t="shared" si="47"/>
        <v>3.1909844016085862E-3</v>
      </c>
      <c r="H162" s="23"/>
      <c r="I162" s="22"/>
      <c r="J162" s="23"/>
      <c r="K162" s="23"/>
    </row>
    <row r="163" spans="1:11" x14ac:dyDescent="0.25">
      <c r="A163" s="12" t="s">
        <v>77</v>
      </c>
      <c r="B163" s="12">
        <v>5</v>
      </c>
      <c r="C163" s="12">
        <v>2</v>
      </c>
      <c r="D163" s="12">
        <v>3.3</v>
      </c>
      <c r="E163" s="2">
        <v>1410594</v>
      </c>
      <c r="F163" s="16">
        <v>4489</v>
      </c>
      <c r="G163" s="1">
        <f t="shared" si="47"/>
        <v>3.1823472948275689E-3</v>
      </c>
      <c r="H163" s="23"/>
      <c r="I163" s="22"/>
      <c r="J163" s="23"/>
      <c r="K163" s="23"/>
    </row>
    <row r="164" spans="1:11" x14ac:dyDescent="0.25">
      <c r="A164" s="12" t="s">
        <v>13</v>
      </c>
      <c r="B164" s="12">
        <v>10</v>
      </c>
      <c r="C164" s="12">
        <v>2</v>
      </c>
      <c r="D164" s="12">
        <v>1.1000000000000001</v>
      </c>
      <c r="E164" s="2">
        <v>2236808</v>
      </c>
      <c r="F164" s="16">
        <v>5845</v>
      </c>
      <c r="G164" s="1">
        <f t="shared" si="47"/>
        <v>2.6130986655984777E-3</v>
      </c>
      <c r="H164" s="23">
        <f t="shared" ref="H164" si="62">(SUM(F164:F166))/SUM(E164:E166)</f>
        <v>7.9366846525012365E-3</v>
      </c>
      <c r="I164" s="22" t="s">
        <v>87</v>
      </c>
      <c r="J164" s="23">
        <f t="shared" ref="J164" si="63">AVERAGE(G165:G172)</f>
        <v>8.7894868162009619E-3</v>
      </c>
      <c r="K164" s="23">
        <f>AVERAGE(G164:G190)</f>
        <v>1.6374621956304555E-2</v>
      </c>
    </row>
    <row r="165" spans="1:11" x14ac:dyDescent="0.25">
      <c r="A165" s="12" t="s">
        <v>13</v>
      </c>
      <c r="B165" s="12">
        <v>10</v>
      </c>
      <c r="C165" s="12">
        <v>2</v>
      </c>
      <c r="D165" s="12">
        <v>1.2</v>
      </c>
      <c r="E165" s="2">
        <v>2417578</v>
      </c>
      <c r="F165" s="16">
        <v>47394</v>
      </c>
      <c r="G165" s="1">
        <f t="shared" si="47"/>
        <v>1.9603917639885868E-2</v>
      </c>
      <c r="H165" s="23"/>
      <c r="I165" s="22"/>
      <c r="J165" s="23"/>
      <c r="K165" s="23"/>
    </row>
    <row r="166" spans="1:11" x14ac:dyDescent="0.25">
      <c r="A166" s="12" t="s">
        <v>13</v>
      </c>
      <c r="B166" s="12">
        <v>10</v>
      </c>
      <c r="C166" s="12">
        <v>2</v>
      </c>
      <c r="D166" s="12">
        <v>1.3</v>
      </c>
      <c r="E166" s="2">
        <v>2306833</v>
      </c>
      <c r="F166" s="16">
        <v>2010</v>
      </c>
      <c r="G166" s="1">
        <f t="shared" si="47"/>
        <v>8.7132445218184409E-4</v>
      </c>
      <c r="H166" s="23"/>
      <c r="I166" s="22"/>
      <c r="J166" s="23"/>
      <c r="K166" s="23"/>
    </row>
    <row r="167" spans="1:11" x14ac:dyDescent="0.25">
      <c r="A167" s="12" t="s">
        <v>13</v>
      </c>
      <c r="B167" s="12">
        <v>10</v>
      </c>
      <c r="C167" s="12">
        <v>2</v>
      </c>
      <c r="D167" s="12">
        <v>2.1</v>
      </c>
      <c r="E167" s="2">
        <v>1735874</v>
      </c>
      <c r="F167" s="16">
        <v>3187</v>
      </c>
      <c r="G167" s="1">
        <f t="shared" si="47"/>
        <v>1.8359627484483322E-3</v>
      </c>
      <c r="H167" s="23">
        <f t="shared" ref="H167" si="64">(SUM(F167:F169))/SUM(E167:E169)</f>
        <v>1.4456596392722976E-2</v>
      </c>
      <c r="I167" s="22" t="s">
        <v>87</v>
      </c>
      <c r="J167" s="23"/>
      <c r="K167" s="23"/>
    </row>
    <row r="168" spans="1:11" x14ac:dyDescent="0.25">
      <c r="A168" s="12" t="s">
        <v>13</v>
      </c>
      <c r="B168" s="12">
        <v>10</v>
      </c>
      <c r="C168" s="12">
        <v>2</v>
      </c>
      <c r="D168" s="12">
        <v>2.2000000000000002</v>
      </c>
      <c r="E168" s="2">
        <v>1764353</v>
      </c>
      <c r="F168" s="16">
        <v>38193</v>
      </c>
      <c r="G168" s="1">
        <f t="shared" si="47"/>
        <v>2.164702868416921E-2</v>
      </c>
      <c r="H168" s="23"/>
      <c r="I168" s="22"/>
      <c r="J168" s="23"/>
      <c r="K168" s="23"/>
    </row>
    <row r="169" spans="1:11" x14ac:dyDescent="0.25">
      <c r="A169" s="12" t="s">
        <v>13</v>
      </c>
      <c r="B169" s="12">
        <v>10</v>
      </c>
      <c r="C169" s="12">
        <v>2</v>
      </c>
      <c r="D169" s="12">
        <v>2.2999999999999998</v>
      </c>
      <c r="E169" s="2">
        <v>1571022</v>
      </c>
      <c r="F169" s="16">
        <v>31933</v>
      </c>
      <c r="G169" s="1">
        <f t="shared" si="47"/>
        <v>2.0326258957544835E-2</v>
      </c>
      <c r="H169" s="23"/>
      <c r="I169" s="22"/>
      <c r="J169" s="23"/>
      <c r="K169" s="23"/>
    </row>
    <row r="170" spans="1:11" x14ac:dyDescent="0.25">
      <c r="A170" s="12" t="s">
        <v>13</v>
      </c>
      <c r="B170" s="12">
        <v>10</v>
      </c>
      <c r="C170" s="12">
        <v>2</v>
      </c>
      <c r="D170" s="12">
        <v>3.1</v>
      </c>
      <c r="E170" s="2">
        <v>598962</v>
      </c>
      <c r="F170" s="16">
        <v>0</v>
      </c>
      <c r="G170" s="1">
        <f t="shared" si="47"/>
        <v>0</v>
      </c>
      <c r="H170" s="23">
        <f t="shared" ref="H170" si="65">(SUM(F170:F172))/SUM(E170:E172)</f>
        <v>2.131572088218485E-3</v>
      </c>
      <c r="I170" s="22" t="s">
        <v>87</v>
      </c>
      <c r="J170" s="23"/>
      <c r="K170" s="23"/>
    </row>
    <row r="171" spans="1:11" x14ac:dyDescent="0.25">
      <c r="A171" s="12" t="s">
        <v>13</v>
      </c>
      <c r="B171" s="12">
        <v>10</v>
      </c>
      <c r="C171" s="12">
        <v>2</v>
      </c>
      <c r="D171" s="12">
        <v>3.2</v>
      </c>
      <c r="E171" s="2">
        <v>788426</v>
      </c>
      <c r="F171" s="16">
        <v>1984</v>
      </c>
      <c r="G171" s="1">
        <f t="shared" si="47"/>
        <v>2.5164061053288451E-3</v>
      </c>
      <c r="H171" s="23"/>
      <c r="I171" s="22"/>
      <c r="J171" s="23"/>
      <c r="K171" s="23"/>
    </row>
    <row r="172" spans="1:11" x14ac:dyDescent="0.25">
      <c r="A172" s="12" t="s">
        <v>13</v>
      </c>
      <c r="B172" s="12">
        <v>10</v>
      </c>
      <c r="C172" s="12">
        <v>2</v>
      </c>
      <c r="D172" s="12">
        <v>3.3</v>
      </c>
      <c r="E172" s="2">
        <v>703557</v>
      </c>
      <c r="F172" s="16">
        <v>2473</v>
      </c>
      <c r="G172" s="1">
        <f t="shared" si="47"/>
        <v>3.514995942048761E-3</v>
      </c>
      <c r="H172" s="23"/>
      <c r="I172" s="22"/>
      <c r="J172" s="23"/>
      <c r="K172" s="23"/>
    </row>
    <row r="173" spans="1:11" x14ac:dyDescent="0.25">
      <c r="A173" s="12" t="s">
        <v>12</v>
      </c>
      <c r="B173" s="12">
        <v>10</v>
      </c>
      <c r="C173" s="12">
        <v>2</v>
      </c>
      <c r="D173" s="12">
        <v>1.1000000000000001</v>
      </c>
      <c r="E173" s="2">
        <v>1706253</v>
      </c>
      <c r="F173" s="16">
        <v>0</v>
      </c>
      <c r="G173" s="1">
        <f t="shared" si="47"/>
        <v>0</v>
      </c>
      <c r="H173" s="23">
        <f t="shared" ref="H173" si="66">(SUM(F173:F175))/SUM(E173:E175)</f>
        <v>0</v>
      </c>
      <c r="I173" s="22" t="s">
        <v>86</v>
      </c>
      <c r="J173" s="23">
        <f t="shared" ref="J173" si="67">AVERAGE(G173:G181)</f>
        <v>8.0119674705167298E-3</v>
      </c>
      <c r="K173" s="23"/>
    </row>
    <row r="174" spans="1:11" x14ac:dyDescent="0.25">
      <c r="A174" s="12" t="s">
        <v>12</v>
      </c>
      <c r="B174" s="12">
        <v>10</v>
      </c>
      <c r="C174" s="12">
        <v>2</v>
      </c>
      <c r="D174" s="12">
        <v>1.2</v>
      </c>
      <c r="E174" s="2">
        <v>622314</v>
      </c>
      <c r="F174" s="16">
        <v>0</v>
      </c>
      <c r="G174" s="1">
        <f t="shared" si="47"/>
        <v>0</v>
      </c>
      <c r="H174" s="23"/>
      <c r="I174" s="22"/>
      <c r="J174" s="23"/>
      <c r="K174" s="23"/>
    </row>
    <row r="175" spans="1:11" x14ac:dyDescent="0.25">
      <c r="A175" s="12" t="s">
        <v>12</v>
      </c>
      <c r="B175" s="12">
        <v>10</v>
      </c>
      <c r="C175" s="12">
        <v>2</v>
      </c>
      <c r="D175" s="12">
        <v>1.3</v>
      </c>
      <c r="E175" s="2">
        <v>2755433</v>
      </c>
      <c r="F175" s="16">
        <v>0</v>
      </c>
      <c r="G175" s="1">
        <f t="shared" si="47"/>
        <v>0</v>
      </c>
      <c r="H175" s="23"/>
      <c r="I175" s="22"/>
      <c r="J175" s="23"/>
      <c r="K175" s="23"/>
    </row>
    <row r="176" spans="1:11" x14ac:dyDescent="0.25">
      <c r="A176" s="12" t="s">
        <v>12</v>
      </c>
      <c r="B176" s="12">
        <v>10</v>
      </c>
      <c r="C176" s="12">
        <v>2</v>
      </c>
      <c r="D176" s="12">
        <v>2.1</v>
      </c>
      <c r="E176" s="2">
        <v>2222016</v>
      </c>
      <c r="F176" s="16">
        <v>33723</v>
      </c>
      <c r="G176" s="1">
        <f t="shared" si="47"/>
        <v>1.5176758403179814E-2</v>
      </c>
      <c r="H176" s="23">
        <f t="shared" ref="H176" si="68">(SUM(F176:F178))/SUM(E176:E178)</f>
        <v>1.2273077169267343E-2</v>
      </c>
      <c r="I176" s="22" t="s">
        <v>87</v>
      </c>
      <c r="J176" s="23"/>
      <c r="K176" s="23"/>
    </row>
    <row r="177" spans="1:11" x14ac:dyDescent="0.25">
      <c r="A177" s="12" t="s">
        <v>12</v>
      </c>
      <c r="B177" s="12">
        <v>10</v>
      </c>
      <c r="C177" s="12">
        <v>2</v>
      </c>
      <c r="D177" s="12">
        <v>2.2000000000000002</v>
      </c>
      <c r="E177" s="2">
        <v>1758839</v>
      </c>
      <c r="F177" s="16">
        <v>10706</v>
      </c>
      <c r="G177" s="1">
        <f t="shared" si="47"/>
        <v>6.0869698704656876E-3</v>
      </c>
      <c r="H177" s="23"/>
      <c r="I177" s="22"/>
      <c r="J177" s="23"/>
      <c r="K177" s="23"/>
    </row>
    <row r="178" spans="1:11" x14ac:dyDescent="0.25">
      <c r="A178" s="12" t="s">
        <v>12</v>
      </c>
      <c r="B178" s="12">
        <v>10</v>
      </c>
      <c r="C178" s="12">
        <v>2</v>
      </c>
      <c r="D178" s="12">
        <v>2.2999999999999998</v>
      </c>
      <c r="E178" s="2">
        <v>2049499</v>
      </c>
      <c r="F178" s="16">
        <v>29582</v>
      </c>
      <c r="G178" s="1">
        <f t="shared" si="47"/>
        <v>1.4433771375345877E-2</v>
      </c>
      <c r="H178" s="23"/>
      <c r="I178" s="22"/>
      <c r="J178" s="23"/>
      <c r="K178" s="23"/>
    </row>
    <row r="179" spans="1:11" x14ac:dyDescent="0.25">
      <c r="A179" s="12" t="s">
        <v>12</v>
      </c>
      <c r="B179" s="12">
        <v>10</v>
      </c>
      <c r="C179" s="12">
        <v>2</v>
      </c>
      <c r="D179" s="12">
        <v>3.1</v>
      </c>
      <c r="E179" s="2">
        <v>1541200</v>
      </c>
      <c r="F179" s="16">
        <v>24181</v>
      </c>
      <c r="G179" s="1">
        <f t="shared" si="47"/>
        <v>1.5689722294316116E-2</v>
      </c>
      <c r="H179" s="23">
        <f t="shared" ref="H179" si="69">(SUM(F179:F181))/SUM(E179:E181)</f>
        <v>1.1865305779673787E-2</v>
      </c>
      <c r="I179" s="22" t="s">
        <v>87</v>
      </c>
      <c r="J179" s="23"/>
      <c r="K179" s="23"/>
    </row>
    <row r="180" spans="1:11" x14ac:dyDescent="0.25">
      <c r="A180" s="12" t="s">
        <v>12</v>
      </c>
      <c r="B180" s="12">
        <v>10</v>
      </c>
      <c r="C180" s="12">
        <v>2</v>
      </c>
      <c r="D180" s="12">
        <v>3.2</v>
      </c>
      <c r="E180" s="2">
        <v>1541497</v>
      </c>
      <c r="F180" s="16">
        <v>18621</v>
      </c>
      <c r="G180" s="1">
        <f t="shared" si="47"/>
        <v>1.2079815919200621E-2</v>
      </c>
      <c r="H180" s="23"/>
      <c r="I180" s="22"/>
      <c r="J180" s="23"/>
      <c r="K180" s="23"/>
    </row>
    <row r="181" spans="1:11" x14ac:dyDescent="0.25">
      <c r="A181" s="12" t="s">
        <v>12</v>
      </c>
      <c r="B181" s="12">
        <v>10</v>
      </c>
      <c r="C181" s="12">
        <v>2</v>
      </c>
      <c r="D181" s="12">
        <v>3.3</v>
      </c>
      <c r="E181" s="2">
        <v>1930406</v>
      </c>
      <c r="F181" s="16">
        <v>16680</v>
      </c>
      <c r="G181" s="1">
        <f t="shared" si="47"/>
        <v>8.6406693721424403E-3</v>
      </c>
      <c r="H181" s="23"/>
      <c r="I181" s="22"/>
      <c r="J181" s="23"/>
      <c r="K181" s="23"/>
    </row>
    <row r="182" spans="1:11" x14ac:dyDescent="0.25">
      <c r="A182" s="12" t="s">
        <v>14</v>
      </c>
      <c r="B182" s="12">
        <v>10</v>
      </c>
      <c r="C182" s="12">
        <v>2</v>
      </c>
      <c r="D182" s="12">
        <v>1.1000000000000001</v>
      </c>
      <c r="E182" s="2">
        <v>2289326</v>
      </c>
      <c r="F182" s="16">
        <v>2946</v>
      </c>
      <c r="G182" s="1">
        <f t="shared" si="47"/>
        <v>1.286841629370391E-3</v>
      </c>
      <c r="H182" s="23">
        <f t="shared" ref="H182" si="70">(SUM(F182:F184))/SUM(E182:E184)</f>
        <v>7.0131818289197038E-4</v>
      </c>
      <c r="I182" s="22" t="s">
        <v>86</v>
      </c>
      <c r="J182" s="23">
        <f t="shared" ref="J182" si="71">AVERAGE(G182:G190)</f>
        <v>3.300867693226292E-2</v>
      </c>
      <c r="K182" s="23"/>
    </row>
    <row r="183" spans="1:11" x14ac:dyDescent="0.25">
      <c r="A183" s="12" t="s">
        <v>14</v>
      </c>
      <c r="B183" s="12">
        <v>10</v>
      </c>
      <c r="C183" s="12">
        <v>2</v>
      </c>
      <c r="D183" s="12">
        <v>1.2</v>
      </c>
      <c r="E183" s="2">
        <v>737200</v>
      </c>
      <c r="F183" s="16">
        <v>0</v>
      </c>
      <c r="G183" s="1">
        <f t="shared" si="47"/>
        <v>0</v>
      </c>
      <c r="H183" s="23"/>
      <c r="I183" s="22"/>
      <c r="J183" s="23"/>
      <c r="K183" s="23"/>
    </row>
    <row r="184" spans="1:11" x14ac:dyDescent="0.25">
      <c r="A184" s="12" t="s">
        <v>14</v>
      </c>
      <c r="B184" s="12">
        <v>10</v>
      </c>
      <c r="C184" s="12">
        <v>2</v>
      </c>
      <c r="D184" s="12">
        <v>1.3</v>
      </c>
      <c r="E184" s="2">
        <v>2391842</v>
      </c>
      <c r="F184" s="16">
        <v>854</v>
      </c>
      <c r="G184" s="1">
        <f t="shared" si="47"/>
        <v>3.5704699557913944E-4</v>
      </c>
      <c r="H184" s="23"/>
      <c r="I184" s="22"/>
      <c r="J184" s="23"/>
      <c r="K184" s="23"/>
    </row>
    <row r="185" spans="1:11" x14ac:dyDescent="0.25">
      <c r="A185" s="12" t="s">
        <v>14</v>
      </c>
      <c r="B185" s="12">
        <v>10</v>
      </c>
      <c r="C185" s="12">
        <v>2</v>
      </c>
      <c r="D185" s="12">
        <v>2.1</v>
      </c>
      <c r="E185" s="2">
        <v>2571032</v>
      </c>
      <c r="F185" s="16">
        <v>28914</v>
      </c>
      <c r="G185" s="1">
        <f t="shared" si="47"/>
        <v>1.1246067726889436E-2</v>
      </c>
      <c r="H185" s="23">
        <f t="shared" ref="H185" si="72">(SUM(F185:F187))/SUM(E185:E187)</f>
        <v>1.6044088394324845E-2</v>
      </c>
      <c r="I185" s="22" t="s">
        <v>87</v>
      </c>
      <c r="J185" s="23"/>
      <c r="K185" s="23"/>
    </row>
    <row r="186" spans="1:11" x14ac:dyDescent="0.25">
      <c r="A186" s="12" t="s">
        <v>14</v>
      </c>
      <c r="B186" s="12">
        <v>10</v>
      </c>
      <c r="C186" s="12">
        <v>2</v>
      </c>
      <c r="D186" s="12">
        <v>2.2000000000000002</v>
      </c>
      <c r="E186" s="2">
        <v>2525266</v>
      </c>
      <c r="F186" s="16">
        <v>38046</v>
      </c>
      <c r="G186" s="1">
        <f t="shared" si="47"/>
        <v>1.5066135607100401E-2</v>
      </c>
      <c r="H186" s="23"/>
      <c r="I186" s="22"/>
      <c r="J186" s="23"/>
      <c r="K186" s="23"/>
    </row>
    <row r="187" spans="1:11" x14ac:dyDescent="0.25">
      <c r="A187" s="12" t="s">
        <v>14</v>
      </c>
      <c r="B187" s="12">
        <v>10</v>
      </c>
      <c r="C187" s="12">
        <v>2</v>
      </c>
      <c r="D187" s="12">
        <v>2.2999999999999998</v>
      </c>
      <c r="E187" s="2">
        <v>2461065</v>
      </c>
      <c r="F187" s="16">
        <v>54291</v>
      </c>
      <c r="G187" s="1">
        <f t="shared" si="47"/>
        <v>2.2059961845786274E-2</v>
      </c>
      <c r="H187" s="23"/>
      <c r="I187" s="22"/>
      <c r="J187" s="23"/>
      <c r="K187" s="23"/>
    </row>
    <row r="188" spans="1:11" x14ac:dyDescent="0.25">
      <c r="A188" s="12" t="s">
        <v>14</v>
      </c>
      <c r="B188" s="12">
        <v>10</v>
      </c>
      <c r="C188" s="12">
        <v>2</v>
      </c>
      <c r="D188" s="12">
        <v>3.1</v>
      </c>
      <c r="E188" s="2">
        <v>1493156</v>
      </c>
      <c r="F188" s="16">
        <v>73424</v>
      </c>
      <c r="G188" s="1">
        <f t="shared" si="47"/>
        <v>4.9173696519318813E-2</v>
      </c>
      <c r="H188" s="23">
        <f t="shared" ref="H188" si="73">(SUM(F188:F190))/SUM(E188:E190)</f>
        <v>8.1044692075715755E-2</v>
      </c>
      <c r="I188" s="22" t="s">
        <v>86</v>
      </c>
      <c r="J188" s="23"/>
      <c r="K188" s="23"/>
    </row>
    <row r="189" spans="1:11" x14ac:dyDescent="0.25">
      <c r="A189" s="12" t="s">
        <v>14</v>
      </c>
      <c r="B189" s="12">
        <v>10</v>
      </c>
      <c r="C189" s="12">
        <v>2</v>
      </c>
      <c r="D189" s="12">
        <v>3.2</v>
      </c>
      <c r="E189" s="2">
        <v>1521575</v>
      </c>
      <c r="F189" s="16">
        <v>140550</v>
      </c>
      <c r="G189" s="1">
        <f t="shared" si="47"/>
        <v>9.237139148579597E-2</v>
      </c>
      <c r="H189" s="23"/>
      <c r="I189" s="22"/>
      <c r="J189" s="23"/>
      <c r="K189" s="23"/>
    </row>
    <row r="190" spans="1:11" x14ac:dyDescent="0.25">
      <c r="A190" s="12" t="s">
        <v>14</v>
      </c>
      <c r="B190" s="12">
        <v>10</v>
      </c>
      <c r="C190" s="12">
        <v>2</v>
      </c>
      <c r="D190" s="12">
        <v>3.3</v>
      </c>
      <c r="E190" s="2">
        <v>1240341</v>
      </c>
      <c r="F190" s="16">
        <f>74345+45121+9147+2264</f>
        <v>130877</v>
      </c>
      <c r="G190" s="1">
        <f t="shared" si="47"/>
        <v>0.10551695058052583</v>
      </c>
      <c r="H190" s="23"/>
      <c r="I190" s="22"/>
      <c r="J190" s="23"/>
      <c r="K190" s="23"/>
    </row>
    <row r="191" spans="1:11" x14ac:dyDescent="0.25">
      <c r="A191" s="12" t="s">
        <v>67</v>
      </c>
      <c r="B191" s="12">
        <v>25</v>
      </c>
      <c r="C191" s="12">
        <v>2</v>
      </c>
      <c r="D191" s="12">
        <v>1.1000000000000001</v>
      </c>
      <c r="E191" s="2">
        <v>1853410</v>
      </c>
      <c r="F191" s="16">
        <v>6791</v>
      </c>
      <c r="G191" s="1">
        <f t="shared" si="47"/>
        <v>3.6640570623877071E-3</v>
      </c>
      <c r="H191" s="23">
        <f t="shared" ref="H191" si="74">(SUM(F191:F193))/SUM(E191:E193)</f>
        <v>1.3110420352335696E-2</v>
      </c>
      <c r="I191" s="22" t="s">
        <v>87</v>
      </c>
      <c r="J191" s="23">
        <f t="shared" ref="J191" si="75">AVERAGE(G192:G199)</f>
        <v>3.1109202122544553E-2</v>
      </c>
      <c r="K191" s="23">
        <f>AVERAGE(G191:G217)</f>
        <v>2.3278856673813117E-2</v>
      </c>
    </row>
    <row r="192" spans="1:11" x14ac:dyDescent="0.25">
      <c r="A192" s="12" t="s">
        <v>67</v>
      </c>
      <c r="B192" s="12">
        <v>25</v>
      </c>
      <c r="C192" s="12">
        <v>2</v>
      </c>
      <c r="D192" s="12">
        <v>1.2</v>
      </c>
      <c r="E192" s="2">
        <v>1773240</v>
      </c>
      <c r="F192" s="16">
        <f>17329+25798+1334+1012</f>
        <v>45473</v>
      </c>
      <c r="G192" s="1">
        <f t="shared" si="47"/>
        <v>2.564401885813539E-2</v>
      </c>
      <c r="H192" s="23"/>
      <c r="I192" s="22"/>
      <c r="J192" s="23"/>
      <c r="K192" s="23"/>
    </row>
    <row r="193" spans="1:11" x14ac:dyDescent="0.25">
      <c r="A193" s="12" t="s">
        <v>67</v>
      </c>
      <c r="B193" s="12">
        <v>25</v>
      </c>
      <c r="C193" s="12">
        <v>2</v>
      </c>
      <c r="D193" s="12">
        <v>1.3</v>
      </c>
      <c r="E193" s="2">
        <v>1573107</v>
      </c>
      <c r="F193" s="16">
        <v>15907</v>
      </c>
      <c r="G193" s="1">
        <f t="shared" si="47"/>
        <v>1.0111836003526779E-2</v>
      </c>
      <c r="H193" s="23"/>
      <c r="I193" s="22"/>
      <c r="J193" s="23"/>
      <c r="K193" s="23"/>
    </row>
    <row r="194" spans="1:11" x14ac:dyDescent="0.25">
      <c r="A194" s="12" t="s">
        <v>67</v>
      </c>
      <c r="B194" s="12">
        <v>25</v>
      </c>
      <c r="C194" s="12">
        <v>2</v>
      </c>
      <c r="D194" s="12">
        <v>2.1</v>
      </c>
      <c r="E194" s="2">
        <v>996016</v>
      </c>
      <c r="F194" s="16">
        <f>25101+13467+21969+10671+8611+1074</f>
        <v>80893</v>
      </c>
      <c r="G194" s="1">
        <f t="shared" ref="G194:G257" si="76">F194/E194</f>
        <v>8.121656680213972E-2</v>
      </c>
      <c r="H194" s="23">
        <f t="shared" ref="H194" si="77">(SUM(F194:F196))/SUM(E194:E196)</f>
        <v>6.0106078901555268E-2</v>
      </c>
      <c r="I194" s="22" t="s">
        <v>87</v>
      </c>
      <c r="J194" s="23"/>
      <c r="K194" s="23"/>
    </row>
    <row r="195" spans="1:11" x14ac:dyDescent="0.25">
      <c r="A195" s="12" t="s">
        <v>67</v>
      </c>
      <c r="B195" s="12">
        <v>25</v>
      </c>
      <c r="C195" s="12">
        <v>2</v>
      </c>
      <c r="D195" s="12">
        <v>2.2000000000000002</v>
      </c>
      <c r="E195" s="2">
        <v>1299038</v>
      </c>
      <c r="F195" s="16">
        <v>62812</v>
      </c>
      <c r="G195" s="1">
        <f t="shared" si="76"/>
        <v>4.8352704077940754E-2</v>
      </c>
      <c r="H195" s="23"/>
      <c r="I195" s="22"/>
      <c r="J195" s="23"/>
      <c r="K195" s="23"/>
    </row>
    <row r="196" spans="1:11" x14ac:dyDescent="0.25">
      <c r="A196" s="12" t="s">
        <v>67</v>
      </c>
      <c r="B196" s="12">
        <v>25</v>
      </c>
      <c r="C196" s="12">
        <v>2</v>
      </c>
      <c r="D196" s="12">
        <v>2.2999999999999998</v>
      </c>
      <c r="E196" s="2">
        <v>1102040</v>
      </c>
      <c r="F196" s="16">
        <f>7549+38384+2555+3435+8018+540</f>
        <v>60481</v>
      </c>
      <c r="G196" s="1">
        <f t="shared" si="76"/>
        <v>5.4880948059961528E-2</v>
      </c>
      <c r="H196" s="23"/>
      <c r="I196" s="22"/>
      <c r="J196" s="23"/>
      <c r="K196" s="23"/>
    </row>
    <row r="197" spans="1:11" x14ac:dyDescent="0.25">
      <c r="A197" s="12" t="s">
        <v>67</v>
      </c>
      <c r="B197" s="12">
        <v>25</v>
      </c>
      <c r="C197" s="12">
        <v>2</v>
      </c>
      <c r="D197" s="12">
        <v>3.1</v>
      </c>
      <c r="E197" s="2">
        <v>482330</v>
      </c>
      <c r="F197" s="16">
        <v>7699</v>
      </c>
      <c r="G197" s="1">
        <f t="shared" si="76"/>
        <v>1.5962100636493688E-2</v>
      </c>
      <c r="H197" s="23">
        <f t="shared" ref="H197" si="78">(SUM(F197:F199))/SUM(E197:E199)</f>
        <v>1.0396301883434912E-2</v>
      </c>
      <c r="I197" s="22" t="s">
        <v>87</v>
      </c>
      <c r="J197" s="23"/>
      <c r="K197" s="23"/>
    </row>
    <row r="198" spans="1:11" x14ac:dyDescent="0.25">
      <c r="A198" s="12" t="s">
        <v>67</v>
      </c>
      <c r="B198" s="12">
        <v>25</v>
      </c>
      <c r="C198" s="12">
        <v>2</v>
      </c>
      <c r="D198" s="12">
        <v>3.2</v>
      </c>
      <c r="E198" s="2">
        <v>449410</v>
      </c>
      <c r="F198" s="16">
        <v>3985</v>
      </c>
      <c r="G198" s="1">
        <f t="shared" si="76"/>
        <v>8.8671814156338312E-3</v>
      </c>
      <c r="H198" s="23"/>
      <c r="I198" s="22"/>
      <c r="J198" s="23"/>
      <c r="K198" s="23"/>
    </row>
    <row r="199" spans="1:11" x14ac:dyDescent="0.25">
      <c r="A199" s="12" t="s">
        <v>67</v>
      </c>
      <c r="B199" s="12">
        <v>25</v>
      </c>
      <c r="C199" s="12">
        <v>2</v>
      </c>
      <c r="D199" s="12">
        <v>3.3</v>
      </c>
      <c r="E199" s="2">
        <v>304565</v>
      </c>
      <c r="F199" s="16">
        <v>1169</v>
      </c>
      <c r="G199" s="1">
        <f t="shared" si="76"/>
        <v>3.8382611265247155E-3</v>
      </c>
      <c r="H199" s="23"/>
      <c r="I199" s="22"/>
      <c r="J199" s="23"/>
      <c r="K199" s="23"/>
    </row>
    <row r="200" spans="1:11" x14ac:dyDescent="0.25">
      <c r="A200" s="12" t="s">
        <v>68</v>
      </c>
      <c r="B200" s="12">
        <v>25</v>
      </c>
      <c r="C200" s="12">
        <v>2</v>
      </c>
      <c r="D200" s="12">
        <v>1.1000000000000001</v>
      </c>
      <c r="E200" s="2">
        <v>1420714</v>
      </c>
      <c r="F200" s="16">
        <v>938</v>
      </c>
      <c r="G200" s="1">
        <f t="shared" si="76"/>
        <v>6.6023140477252989E-4</v>
      </c>
      <c r="H200" s="23">
        <f t="shared" ref="H200" si="79">(SUM(F200:F202))/SUM(E200:E202)</f>
        <v>2.3979135595620765E-4</v>
      </c>
      <c r="I200" s="22" t="s">
        <v>86</v>
      </c>
      <c r="J200" s="23">
        <f t="shared" ref="J200" si="80">AVERAGE(G200:G208)</f>
        <v>1.278550756381451E-2</v>
      </c>
      <c r="K200" s="23"/>
    </row>
    <row r="201" spans="1:11" x14ac:dyDescent="0.25">
      <c r="A201" s="12" t="s">
        <v>68</v>
      </c>
      <c r="B201" s="12">
        <v>25</v>
      </c>
      <c r="C201" s="12">
        <v>2</v>
      </c>
      <c r="D201" s="12">
        <v>1.2</v>
      </c>
      <c r="E201" s="2">
        <v>1020722</v>
      </c>
      <c r="F201" s="16">
        <v>0</v>
      </c>
      <c r="G201" s="1">
        <f t="shared" si="76"/>
        <v>0</v>
      </c>
      <c r="H201" s="23"/>
      <c r="I201" s="22"/>
      <c r="J201" s="23"/>
      <c r="K201" s="23"/>
    </row>
    <row r="202" spans="1:11" x14ac:dyDescent="0.25">
      <c r="A202" s="12" t="s">
        <v>68</v>
      </c>
      <c r="B202" s="12">
        <v>25</v>
      </c>
      <c r="C202" s="12">
        <v>2</v>
      </c>
      <c r="D202" s="12">
        <v>1.3</v>
      </c>
      <c r="E202" s="2">
        <v>1470298</v>
      </c>
      <c r="F202" s="16">
        <v>0</v>
      </c>
      <c r="G202" s="1">
        <f t="shared" si="76"/>
        <v>0</v>
      </c>
      <c r="H202" s="23"/>
      <c r="I202" s="22"/>
      <c r="J202" s="23"/>
      <c r="K202" s="23"/>
    </row>
    <row r="203" spans="1:11" x14ac:dyDescent="0.25">
      <c r="A203" s="12" t="s">
        <v>68</v>
      </c>
      <c r="B203" s="12">
        <v>25</v>
      </c>
      <c r="C203" s="12">
        <v>2</v>
      </c>
      <c r="D203" s="12">
        <v>2.1</v>
      </c>
      <c r="E203" s="2">
        <v>1328184</v>
      </c>
      <c r="F203" s="16">
        <f>13410+395+1735+2248+146</f>
        <v>17934</v>
      </c>
      <c r="G203" s="1">
        <f t="shared" si="76"/>
        <v>1.3502647223577456E-2</v>
      </c>
      <c r="H203" s="23">
        <f t="shared" ref="H203" si="81">(SUM(F203:F205))/SUM(E203:E205)</f>
        <v>3.0677844682928036E-2</v>
      </c>
      <c r="I203" s="22" t="s">
        <v>87</v>
      </c>
      <c r="J203" s="23"/>
      <c r="K203" s="23"/>
    </row>
    <row r="204" spans="1:11" x14ac:dyDescent="0.25">
      <c r="A204" s="12" t="s">
        <v>68</v>
      </c>
      <c r="B204" s="12">
        <v>25</v>
      </c>
      <c r="C204" s="12">
        <v>2</v>
      </c>
      <c r="D204" s="12">
        <v>2.2000000000000002</v>
      </c>
      <c r="E204" s="2">
        <v>1088992</v>
      </c>
      <c r="F204" s="16">
        <f>17654+1190+941+675+440</f>
        <v>20900</v>
      </c>
      <c r="G204" s="1">
        <f t="shared" si="76"/>
        <v>1.9192060180423732E-2</v>
      </c>
      <c r="H204" s="23"/>
      <c r="I204" s="22"/>
      <c r="J204" s="23"/>
      <c r="K204" s="23"/>
    </row>
    <row r="205" spans="1:11" x14ac:dyDescent="0.25">
      <c r="A205" s="12" t="s">
        <v>68</v>
      </c>
      <c r="B205" s="12">
        <v>25</v>
      </c>
      <c r="C205" s="12">
        <v>2</v>
      </c>
      <c r="D205" s="12">
        <v>2.2999999999999998</v>
      </c>
      <c r="E205" s="2">
        <v>1785955</v>
      </c>
      <c r="F205" s="16">
        <v>90109</v>
      </c>
      <c r="G205" s="1">
        <f t="shared" si="76"/>
        <v>5.045423876861399E-2</v>
      </c>
      <c r="H205" s="23"/>
      <c r="I205" s="22"/>
      <c r="J205" s="23"/>
      <c r="K205" s="23"/>
    </row>
    <row r="206" spans="1:11" x14ac:dyDescent="0.25">
      <c r="A206" s="12" t="s">
        <v>68</v>
      </c>
      <c r="B206" s="12">
        <v>25</v>
      </c>
      <c r="C206" s="12">
        <v>2</v>
      </c>
      <c r="D206" s="12">
        <v>3.1</v>
      </c>
      <c r="E206" s="2">
        <v>2243327</v>
      </c>
      <c r="F206" s="16">
        <v>11672</v>
      </c>
      <c r="G206" s="1">
        <f t="shared" si="76"/>
        <v>5.2029864571683038E-3</v>
      </c>
      <c r="H206" s="23">
        <f t="shared" ref="H206" si="82">(SUM(F206:F208))/SUM(E206:E208)</f>
        <v>1.0386945481632234E-2</v>
      </c>
      <c r="I206" s="22" t="s">
        <v>87</v>
      </c>
      <c r="J206" s="23"/>
      <c r="K206" s="23"/>
    </row>
    <row r="207" spans="1:11" x14ac:dyDescent="0.25">
      <c r="A207" s="12" t="s">
        <v>68</v>
      </c>
      <c r="B207" s="12">
        <v>25</v>
      </c>
      <c r="C207" s="12">
        <v>2</v>
      </c>
      <c r="D207" s="12">
        <v>3.2</v>
      </c>
      <c r="E207" s="2">
        <v>2295618</v>
      </c>
      <c r="F207" s="16">
        <f>6425+1240+2660+585+1658+2735+790</f>
        <v>16093</v>
      </c>
      <c r="G207" s="1">
        <f t="shared" si="76"/>
        <v>7.0103126913972618E-3</v>
      </c>
      <c r="H207" s="23"/>
      <c r="I207" s="22"/>
      <c r="J207" s="23"/>
      <c r="K207" s="23"/>
    </row>
    <row r="208" spans="1:11" x14ac:dyDescent="0.25">
      <c r="A208" s="12" t="s">
        <v>68</v>
      </c>
      <c r="B208" s="12">
        <v>25</v>
      </c>
      <c r="C208" s="12">
        <v>2</v>
      </c>
      <c r="D208" s="12">
        <v>3.3</v>
      </c>
      <c r="E208" s="2">
        <v>2237927</v>
      </c>
      <c r="F208" s="16">
        <v>42626</v>
      </c>
      <c r="G208" s="1">
        <f t="shared" si="76"/>
        <v>1.9047091348377315E-2</v>
      </c>
      <c r="H208" s="23"/>
      <c r="I208" s="22"/>
      <c r="J208" s="23"/>
      <c r="K208" s="23"/>
    </row>
    <row r="209" spans="1:11" x14ac:dyDescent="0.25">
      <c r="A209" s="12" t="s">
        <v>69</v>
      </c>
      <c r="B209" s="12">
        <v>25</v>
      </c>
      <c r="C209" s="12">
        <v>2</v>
      </c>
      <c r="D209" s="12">
        <v>1.1000000000000001</v>
      </c>
      <c r="E209" s="2">
        <v>700103</v>
      </c>
      <c r="F209" s="16">
        <v>25065</v>
      </c>
      <c r="G209" s="1">
        <f t="shared" si="76"/>
        <v>3.5801874866983857E-2</v>
      </c>
      <c r="H209" s="23">
        <f t="shared" ref="H209" si="83">(SUM(F209:F211))/SUM(E209:E211)</f>
        <v>3.0640029799781927E-2</v>
      </c>
      <c r="I209" s="22" t="s">
        <v>87</v>
      </c>
      <c r="J209" s="23">
        <f t="shared" ref="J209" si="84">AVERAGE(G209:G217)</f>
        <v>2.8991320897319952E-2</v>
      </c>
      <c r="K209" s="23"/>
    </row>
    <row r="210" spans="1:11" x14ac:dyDescent="0.25">
      <c r="A210" s="12" t="s">
        <v>69</v>
      </c>
      <c r="B210" s="12">
        <v>25</v>
      </c>
      <c r="C210" s="12">
        <v>2</v>
      </c>
      <c r="D210" s="12">
        <v>1.2</v>
      </c>
      <c r="E210" s="2">
        <v>1157891</v>
      </c>
      <c r="F210" s="16">
        <v>22982</v>
      </c>
      <c r="G210" s="1">
        <f t="shared" si="76"/>
        <v>1.9848154964500112E-2</v>
      </c>
      <c r="H210" s="23"/>
      <c r="I210" s="22"/>
      <c r="J210" s="23"/>
      <c r="K210" s="23"/>
    </row>
    <row r="211" spans="1:11" x14ac:dyDescent="0.25">
      <c r="A211" s="12" t="s">
        <v>69</v>
      </c>
      <c r="B211" s="12">
        <v>25</v>
      </c>
      <c r="C211" s="12">
        <v>2</v>
      </c>
      <c r="D211" s="12">
        <v>1.3</v>
      </c>
      <c r="E211" s="2">
        <v>1312499</v>
      </c>
      <c r="F211" s="16">
        <v>49097</v>
      </c>
      <c r="G211" s="1">
        <f t="shared" si="76"/>
        <v>3.7407266596012644E-2</v>
      </c>
      <c r="H211" s="23"/>
      <c r="I211" s="22"/>
      <c r="J211" s="23"/>
      <c r="K211" s="23"/>
    </row>
    <row r="212" spans="1:11" x14ac:dyDescent="0.25">
      <c r="A212" s="12" t="s">
        <v>69</v>
      </c>
      <c r="B212" s="12">
        <v>25</v>
      </c>
      <c r="C212" s="12">
        <v>2</v>
      </c>
      <c r="D212" s="12">
        <v>2.1</v>
      </c>
      <c r="E212" s="2">
        <v>1176493</v>
      </c>
      <c r="F212" s="16">
        <v>41204</v>
      </c>
      <c r="G212" s="1">
        <f t="shared" si="76"/>
        <v>3.5022732816939836E-2</v>
      </c>
      <c r="H212" s="23">
        <f t="shared" ref="H212" si="85">(SUM(F212:F214))/SUM(E212:E214)</f>
        <v>4.5361962950418173E-2</v>
      </c>
      <c r="I212" s="22" t="s">
        <v>87</v>
      </c>
      <c r="J212" s="23"/>
      <c r="K212" s="23"/>
    </row>
    <row r="213" spans="1:11" x14ac:dyDescent="0.25">
      <c r="A213" s="12" t="s">
        <v>69</v>
      </c>
      <c r="B213" s="12">
        <v>25</v>
      </c>
      <c r="C213" s="12">
        <v>2</v>
      </c>
      <c r="D213" s="12">
        <v>2.2000000000000002</v>
      </c>
      <c r="E213" s="2">
        <v>629168</v>
      </c>
      <c r="F213" s="16">
        <f>19153+3877+2233</f>
        <v>25263</v>
      </c>
      <c r="G213" s="1">
        <f t="shared" si="76"/>
        <v>4.0153027490272865E-2</v>
      </c>
      <c r="H213" s="23"/>
      <c r="I213" s="22"/>
      <c r="J213" s="23"/>
      <c r="K213" s="23"/>
    </row>
    <row r="214" spans="1:11" x14ac:dyDescent="0.25">
      <c r="A214" s="12" t="s">
        <v>69</v>
      </c>
      <c r="B214" s="12">
        <v>25</v>
      </c>
      <c r="C214" s="12">
        <v>2</v>
      </c>
      <c r="D214" s="12">
        <v>2.2999999999999998</v>
      </c>
      <c r="E214" s="2">
        <v>1264819</v>
      </c>
      <c r="F214" s="16">
        <f>61392+11424</f>
        <v>72816</v>
      </c>
      <c r="G214" s="1">
        <f t="shared" si="76"/>
        <v>5.7570292666381515E-2</v>
      </c>
      <c r="H214" s="23"/>
      <c r="I214" s="22"/>
      <c r="J214" s="23"/>
      <c r="K214" s="23"/>
    </row>
    <row r="215" spans="1:11" x14ac:dyDescent="0.25">
      <c r="A215" s="12" t="s">
        <v>69</v>
      </c>
      <c r="B215" s="12">
        <v>25</v>
      </c>
      <c r="C215" s="12">
        <v>2</v>
      </c>
      <c r="D215" s="12">
        <v>3.1</v>
      </c>
      <c r="E215" s="2">
        <v>966845</v>
      </c>
      <c r="F215" s="16">
        <f>3072+5010+8862</f>
        <v>16944</v>
      </c>
      <c r="G215" s="1">
        <f t="shared" si="76"/>
        <v>1.7525042793829413E-2</v>
      </c>
      <c r="H215" s="23">
        <f t="shared" ref="H215" si="86">(SUM(F215:F217))/SUM(E215:E217)</f>
        <v>1.0585040311079057E-2</v>
      </c>
      <c r="I215" s="22" t="s">
        <v>86</v>
      </c>
      <c r="J215" s="23"/>
      <c r="K215" s="23"/>
    </row>
    <row r="216" spans="1:11" x14ac:dyDescent="0.25">
      <c r="A216" s="12" t="s">
        <v>69</v>
      </c>
      <c r="B216" s="12">
        <v>25</v>
      </c>
      <c r="C216" s="12">
        <v>2</v>
      </c>
      <c r="D216" s="12">
        <v>3.2</v>
      </c>
      <c r="E216" s="2">
        <v>1676792</v>
      </c>
      <c r="F216" s="16">
        <f>10383+230</f>
        <v>10613</v>
      </c>
      <c r="G216" s="1">
        <f t="shared" si="76"/>
        <v>6.3293479453623343E-3</v>
      </c>
      <c r="H216" s="23"/>
      <c r="I216" s="22"/>
      <c r="J216" s="23"/>
      <c r="K216" s="23"/>
    </row>
    <row r="217" spans="1:11" x14ac:dyDescent="0.25">
      <c r="A217" s="12" t="s">
        <v>69</v>
      </c>
      <c r="B217" s="12">
        <v>25</v>
      </c>
      <c r="C217" s="12">
        <v>2</v>
      </c>
      <c r="D217" s="12">
        <v>3.3</v>
      </c>
      <c r="E217" s="2">
        <v>627300</v>
      </c>
      <c r="F217" s="16">
        <v>7066</v>
      </c>
      <c r="G217" s="1">
        <f t="shared" si="76"/>
        <v>1.1264147935597003E-2</v>
      </c>
      <c r="H217" s="23"/>
      <c r="I217" s="22"/>
      <c r="J217" s="23"/>
      <c r="K217" s="23"/>
    </row>
    <row r="218" spans="1:11" x14ac:dyDescent="0.25">
      <c r="A218" s="12" t="s">
        <v>51</v>
      </c>
      <c r="B218" s="12">
        <v>35</v>
      </c>
      <c r="C218" s="12">
        <v>2</v>
      </c>
      <c r="D218" s="12">
        <v>1.1000000000000001</v>
      </c>
      <c r="E218" s="2">
        <v>1959647</v>
      </c>
      <c r="F218" s="16">
        <v>0</v>
      </c>
      <c r="G218" s="1">
        <f t="shared" si="76"/>
        <v>0</v>
      </c>
      <c r="H218" s="23">
        <f t="shared" ref="H218" si="87">(SUM(F218:F220))/SUM(E218:E220)</f>
        <v>0</v>
      </c>
      <c r="I218" s="22" t="s">
        <v>86</v>
      </c>
      <c r="J218" s="23">
        <f t="shared" ref="J218" si="88">AVERAGE(G219:G226)</f>
        <v>2.3355765057547613E-2</v>
      </c>
      <c r="K218" s="23">
        <f>AVERAGE(G218:G244)</f>
        <v>1.8094283403614467E-2</v>
      </c>
    </row>
    <row r="219" spans="1:11" x14ac:dyDescent="0.25">
      <c r="A219" s="12" t="s">
        <v>51</v>
      </c>
      <c r="B219" s="12">
        <v>35</v>
      </c>
      <c r="C219" s="12">
        <v>2</v>
      </c>
      <c r="D219" s="12">
        <v>1.2</v>
      </c>
      <c r="E219" s="2">
        <v>1789501</v>
      </c>
      <c r="F219" s="16">
        <v>0</v>
      </c>
      <c r="G219" s="1">
        <f t="shared" si="76"/>
        <v>0</v>
      </c>
      <c r="H219" s="23"/>
      <c r="I219" s="22"/>
      <c r="J219" s="23"/>
      <c r="K219" s="23"/>
    </row>
    <row r="220" spans="1:11" x14ac:dyDescent="0.25">
      <c r="A220" s="12" t="s">
        <v>51</v>
      </c>
      <c r="B220" s="12">
        <v>35</v>
      </c>
      <c r="C220" s="12">
        <v>2</v>
      </c>
      <c r="D220" s="12">
        <v>1.3</v>
      </c>
      <c r="E220" s="2">
        <v>1543131</v>
      </c>
      <c r="F220" s="16">
        <v>0</v>
      </c>
      <c r="G220" s="1">
        <f t="shared" si="76"/>
        <v>0</v>
      </c>
      <c r="H220" s="23"/>
      <c r="I220" s="22"/>
      <c r="J220" s="23"/>
      <c r="K220" s="23"/>
    </row>
    <row r="221" spans="1:11" x14ac:dyDescent="0.25">
      <c r="A221" s="12" t="s">
        <v>51</v>
      </c>
      <c r="B221" s="12">
        <v>35</v>
      </c>
      <c r="C221" s="12">
        <v>2</v>
      </c>
      <c r="D221" s="12">
        <v>2.1</v>
      </c>
      <c r="E221" s="2">
        <v>1856214</v>
      </c>
      <c r="F221" s="16">
        <v>61685</v>
      </c>
      <c r="G221" s="1">
        <f t="shared" si="76"/>
        <v>3.3231620923018575E-2</v>
      </c>
      <c r="H221" s="23">
        <f t="shared" ref="H221" si="89">(SUM(F221:F223))/SUM(E221:E223)</f>
        <v>4.8036414912640123E-2</v>
      </c>
      <c r="I221" s="22" t="s">
        <v>87</v>
      </c>
      <c r="J221" s="23"/>
      <c r="K221" s="23"/>
    </row>
    <row r="222" spans="1:11" x14ac:dyDescent="0.25">
      <c r="A222" s="12" t="s">
        <v>51</v>
      </c>
      <c r="B222" s="12">
        <v>35</v>
      </c>
      <c r="C222" s="12">
        <v>2</v>
      </c>
      <c r="D222" s="12">
        <v>2.2000000000000002</v>
      </c>
      <c r="E222" s="2">
        <v>1901161</v>
      </c>
      <c r="F222" s="16">
        <v>129011</v>
      </c>
      <c r="G222" s="1">
        <f t="shared" si="76"/>
        <v>6.7859060858075665E-2</v>
      </c>
      <c r="H222" s="23"/>
      <c r="I222" s="22"/>
      <c r="J222" s="23"/>
      <c r="K222" s="23"/>
    </row>
    <row r="223" spans="1:11" x14ac:dyDescent="0.25">
      <c r="A223" s="12" t="s">
        <v>51</v>
      </c>
      <c r="B223" s="12">
        <v>35</v>
      </c>
      <c r="C223" s="12">
        <v>2</v>
      </c>
      <c r="D223" s="12">
        <v>2.2999999999999998</v>
      </c>
      <c r="E223" s="2">
        <v>1516728</v>
      </c>
      <c r="F223" s="16">
        <f>11215+3905+2438+3218+1017+12886+13291+5135+2024+7524</f>
        <v>62653</v>
      </c>
      <c r="G223" s="1">
        <f t="shared" si="76"/>
        <v>4.1307999852313662E-2</v>
      </c>
      <c r="H223" s="23"/>
      <c r="I223" s="22"/>
      <c r="J223" s="23"/>
      <c r="K223" s="23"/>
    </row>
    <row r="224" spans="1:11" x14ac:dyDescent="0.25">
      <c r="A224" s="12" t="s">
        <v>51</v>
      </c>
      <c r="B224" s="12">
        <v>35</v>
      </c>
      <c r="C224" s="12">
        <v>2</v>
      </c>
      <c r="D224" s="12">
        <v>3.1</v>
      </c>
      <c r="E224" s="2">
        <v>828805</v>
      </c>
      <c r="F224" s="16">
        <v>18509</v>
      </c>
      <c r="G224" s="1">
        <f t="shared" si="76"/>
        <v>2.2332152918961637E-2</v>
      </c>
      <c r="H224" s="23">
        <f t="shared" ref="H224" si="90">(SUM(F224:F226))/SUM(E224:E226)</f>
        <v>1.4471316665337429E-2</v>
      </c>
      <c r="I224" s="22" t="s">
        <v>87</v>
      </c>
      <c r="J224" s="23"/>
      <c r="K224" s="23"/>
    </row>
    <row r="225" spans="1:11" x14ac:dyDescent="0.25">
      <c r="A225" s="12" t="s">
        <v>51</v>
      </c>
      <c r="B225" s="12">
        <v>35</v>
      </c>
      <c r="C225" s="12">
        <v>2</v>
      </c>
      <c r="D225" s="12">
        <v>3.2</v>
      </c>
      <c r="E225" s="2">
        <v>942626</v>
      </c>
      <c r="F225" s="16">
        <v>6684</v>
      </c>
      <c r="G225" s="1">
        <f t="shared" si="76"/>
        <v>7.0908292366219476E-3</v>
      </c>
      <c r="H225" s="23"/>
      <c r="I225" s="22"/>
      <c r="J225" s="23"/>
      <c r="K225" s="23"/>
    </row>
    <row r="226" spans="1:11" x14ac:dyDescent="0.25">
      <c r="A226" s="12" t="s">
        <v>51</v>
      </c>
      <c r="B226" s="12">
        <v>35</v>
      </c>
      <c r="C226" s="12">
        <v>2</v>
      </c>
      <c r="D226" s="12">
        <v>3.3</v>
      </c>
      <c r="E226" s="2">
        <v>798964</v>
      </c>
      <c r="F226" s="16">
        <v>12004</v>
      </c>
      <c r="G226" s="1">
        <f t="shared" si="76"/>
        <v>1.502445667138945E-2</v>
      </c>
      <c r="H226" s="23"/>
      <c r="I226" s="22"/>
      <c r="J226" s="23"/>
      <c r="K226" s="23"/>
    </row>
    <row r="227" spans="1:11" x14ac:dyDescent="0.25">
      <c r="A227" s="12" t="s">
        <v>49</v>
      </c>
      <c r="B227" s="12">
        <v>35</v>
      </c>
      <c r="C227" s="12">
        <v>2</v>
      </c>
      <c r="D227" s="12">
        <v>1.1000000000000001</v>
      </c>
      <c r="E227" s="2">
        <v>2542452</v>
      </c>
      <c r="F227" s="16">
        <v>241144</v>
      </c>
      <c r="G227" s="1">
        <f t="shared" si="76"/>
        <v>9.4847021694018221E-2</v>
      </c>
      <c r="H227" s="23">
        <f t="shared" ref="H227" si="91">(SUM(F227:F229))/SUM(E227:E229)</f>
        <v>5.3910016357116231E-2</v>
      </c>
      <c r="I227" s="22" t="s">
        <v>87</v>
      </c>
      <c r="J227" s="23">
        <f t="shared" ref="J227" si="92">AVERAGE(G227:G235)</f>
        <v>2.2007387608435763E-2</v>
      </c>
      <c r="K227" s="23"/>
    </row>
    <row r="228" spans="1:11" x14ac:dyDescent="0.25">
      <c r="A228" s="12" t="s">
        <v>49</v>
      </c>
      <c r="B228" s="12">
        <v>35</v>
      </c>
      <c r="C228" s="12">
        <v>2</v>
      </c>
      <c r="D228" s="12">
        <v>1.2</v>
      </c>
      <c r="E228" s="2">
        <v>2219634</v>
      </c>
      <c r="F228" s="16">
        <v>133569</v>
      </c>
      <c r="G228" s="1">
        <f t="shared" si="76"/>
        <v>6.0176137146935038E-2</v>
      </c>
      <c r="H228" s="23"/>
      <c r="I228" s="22"/>
      <c r="J228" s="23"/>
      <c r="K228" s="23"/>
    </row>
    <row r="229" spans="1:11" x14ac:dyDescent="0.25">
      <c r="A229" s="12" t="s">
        <v>49</v>
      </c>
      <c r="B229" s="12">
        <v>35</v>
      </c>
      <c r="C229" s="12">
        <v>2</v>
      </c>
      <c r="D229" s="12">
        <v>1.3</v>
      </c>
      <c r="E229" s="2">
        <v>2569891</v>
      </c>
      <c r="F229" s="16">
        <v>20554</v>
      </c>
      <c r="G229" s="1">
        <f t="shared" si="76"/>
        <v>7.9980045846302431E-3</v>
      </c>
      <c r="H229" s="23"/>
      <c r="I229" s="22"/>
      <c r="J229" s="23"/>
      <c r="K229" s="23"/>
    </row>
    <row r="230" spans="1:11" x14ac:dyDescent="0.25">
      <c r="A230" s="12" t="s">
        <v>49</v>
      </c>
      <c r="B230" s="12">
        <v>35</v>
      </c>
      <c r="C230" s="12">
        <v>2</v>
      </c>
      <c r="D230" s="12">
        <v>2.1</v>
      </c>
      <c r="E230" s="2">
        <v>2205656</v>
      </c>
      <c r="F230" s="16">
        <v>1635</v>
      </c>
      <c r="G230" s="1">
        <f t="shared" si="76"/>
        <v>7.412760648079302E-4</v>
      </c>
      <c r="H230" s="23">
        <f t="shared" ref="H230" si="93">(SUM(F230:F232))/SUM(E230:E232)</f>
        <v>1.1619042016513289E-3</v>
      </c>
      <c r="I230" s="22" t="s">
        <v>87</v>
      </c>
      <c r="J230" s="23"/>
      <c r="K230" s="23"/>
    </row>
    <row r="231" spans="1:11" x14ac:dyDescent="0.25">
      <c r="A231" s="12" t="s">
        <v>49</v>
      </c>
      <c r="B231" s="12">
        <v>35</v>
      </c>
      <c r="C231" s="12">
        <v>2</v>
      </c>
      <c r="D231" s="12">
        <v>2.2000000000000002</v>
      </c>
      <c r="E231" s="2">
        <v>2379574</v>
      </c>
      <c r="F231" s="16">
        <v>1889</v>
      </c>
      <c r="G231" s="1">
        <f t="shared" si="76"/>
        <v>7.9383956960363494E-4</v>
      </c>
      <c r="H231" s="23"/>
      <c r="I231" s="22"/>
      <c r="J231" s="23"/>
      <c r="K231" s="23"/>
    </row>
    <row r="232" spans="1:11" x14ac:dyDescent="0.25">
      <c r="A232" s="12" t="s">
        <v>49</v>
      </c>
      <c r="B232" s="12">
        <v>35</v>
      </c>
      <c r="C232" s="12">
        <v>2</v>
      </c>
      <c r="D232" s="12">
        <v>2.2999999999999998</v>
      </c>
      <c r="E232" s="2">
        <v>1772437</v>
      </c>
      <c r="F232" s="16">
        <v>3863</v>
      </c>
      <c r="G232" s="1">
        <f t="shared" si="76"/>
        <v>2.179485081839298E-3</v>
      </c>
      <c r="H232" s="23"/>
      <c r="I232" s="22"/>
      <c r="J232" s="23"/>
      <c r="K232" s="23"/>
    </row>
    <row r="233" spans="1:11" x14ac:dyDescent="0.25">
      <c r="A233" s="12" t="s">
        <v>49</v>
      </c>
      <c r="B233" s="12">
        <v>35</v>
      </c>
      <c r="C233" s="12">
        <v>2</v>
      </c>
      <c r="D233" s="12">
        <v>3.1</v>
      </c>
      <c r="E233" s="2">
        <v>2110920</v>
      </c>
      <c r="F233" s="16">
        <v>12806</v>
      </c>
      <c r="G233" s="1">
        <f t="shared" si="76"/>
        <v>6.0665491823470334E-3</v>
      </c>
      <c r="H233" s="23">
        <f t="shared" ref="H233" si="94">(SUM(F233:F235))/SUM(E233:E235)</f>
        <v>1.0054039499278015E-2</v>
      </c>
      <c r="I233" s="22" t="s">
        <v>86</v>
      </c>
      <c r="J233" s="23"/>
      <c r="K233" s="23"/>
    </row>
    <row r="234" spans="1:11" x14ac:dyDescent="0.25">
      <c r="A234" s="12" t="s">
        <v>49</v>
      </c>
      <c r="B234" s="12">
        <v>35</v>
      </c>
      <c r="C234" s="12">
        <v>2</v>
      </c>
      <c r="D234" s="12">
        <v>3.2</v>
      </c>
      <c r="E234" s="2">
        <v>1520489</v>
      </c>
      <c r="F234" s="16">
        <v>1200</v>
      </c>
      <c r="G234" s="1">
        <f t="shared" si="76"/>
        <v>7.8921978389846954E-4</v>
      </c>
      <c r="H234" s="23"/>
      <c r="I234" s="22"/>
      <c r="J234" s="23"/>
      <c r="K234" s="23"/>
    </row>
    <row r="235" spans="1:11" x14ac:dyDescent="0.25">
      <c r="A235" s="12" t="s">
        <v>49</v>
      </c>
      <c r="B235" s="12">
        <v>35</v>
      </c>
      <c r="C235" s="12">
        <v>2</v>
      </c>
      <c r="D235" s="12">
        <v>3.3</v>
      </c>
      <c r="E235" s="2">
        <v>1560534</v>
      </c>
      <c r="F235" s="16">
        <v>38194</v>
      </c>
      <c r="G235" s="1">
        <f t="shared" si="76"/>
        <v>2.4474955367842034E-2</v>
      </c>
      <c r="H235" s="23"/>
      <c r="I235" s="22"/>
      <c r="J235" s="23"/>
      <c r="K235" s="23"/>
    </row>
    <row r="236" spans="1:11" x14ac:dyDescent="0.25">
      <c r="A236" s="12" t="s">
        <v>50</v>
      </c>
      <c r="B236" s="12">
        <v>35</v>
      </c>
      <c r="C236" s="12">
        <v>2</v>
      </c>
      <c r="D236" s="12">
        <v>1.1000000000000001</v>
      </c>
      <c r="E236" s="2">
        <v>1727748</v>
      </c>
      <c r="F236" s="16">
        <v>24346</v>
      </c>
      <c r="G236" s="1">
        <f t="shared" si="76"/>
        <v>1.409117533343983E-2</v>
      </c>
      <c r="H236" s="23">
        <f t="shared" ref="H236" si="95">(SUM(F236:F238))/SUM(E236:E238)</f>
        <v>6.2373748032730544E-3</v>
      </c>
      <c r="I236" s="22" t="s">
        <v>87</v>
      </c>
      <c r="J236" s="23">
        <f t="shared" ref="J236" si="96">AVERAGE(G236:G244)</f>
        <v>1.1514782551254189E-2</v>
      </c>
      <c r="K236" s="23"/>
    </row>
    <row r="237" spans="1:11" x14ac:dyDescent="0.25">
      <c r="A237" s="12" t="s">
        <v>50</v>
      </c>
      <c r="B237" s="12">
        <v>35</v>
      </c>
      <c r="C237" s="12">
        <v>2</v>
      </c>
      <c r="D237" s="12">
        <v>1.2</v>
      </c>
      <c r="E237" s="2">
        <v>1633883</v>
      </c>
      <c r="F237" s="16">
        <v>4685</v>
      </c>
      <c r="G237" s="1">
        <f t="shared" si="76"/>
        <v>2.8674023782608669E-3</v>
      </c>
      <c r="H237" s="23"/>
      <c r="I237" s="22"/>
      <c r="J237" s="23"/>
      <c r="K237" s="23"/>
    </row>
    <row r="238" spans="1:11" x14ac:dyDescent="0.25">
      <c r="A238" s="12" t="s">
        <v>50</v>
      </c>
      <c r="B238" s="12">
        <v>35</v>
      </c>
      <c r="C238" s="12">
        <v>2</v>
      </c>
      <c r="D238" s="12">
        <v>1.3</v>
      </c>
      <c r="E238" s="2">
        <v>1613539</v>
      </c>
      <c r="F238" s="16">
        <v>2001</v>
      </c>
      <c r="G238" s="1">
        <f t="shared" si="76"/>
        <v>1.2401311650973418E-3</v>
      </c>
      <c r="H238" s="23"/>
      <c r="I238" s="22"/>
      <c r="J238" s="23"/>
      <c r="K238" s="23"/>
    </row>
    <row r="239" spans="1:11" x14ac:dyDescent="0.25">
      <c r="A239" s="12" t="s">
        <v>50</v>
      </c>
      <c r="B239" s="12">
        <v>35</v>
      </c>
      <c r="C239" s="12">
        <v>2</v>
      </c>
      <c r="D239" s="12">
        <v>2.1</v>
      </c>
      <c r="E239" s="2">
        <v>1109166</v>
      </c>
      <c r="F239" s="16">
        <v>21082</v>
      </c>
      <c r="G239" s="1">
        <f t="shared" si="76"/>
        <v>1.900707378336516E-2</v>
      </c>
      <c r="H239" s="23">
        <f t="shared" ref="H239" si="97">(SUM(F239:F241))/SUM(E239:E241)</f>
        <v>2.0900798735454321E-2</v>
      </c>
      <c r="I239" s="22" t="s">
        <v>87</v>
      </c>
      <c r="J239" s="23"/>
      <c r="K239" s="23"/>
    </row>
    <row r="240" spans="1:11" x14ac:dyDescent="0.25">
      <c r="A240" s="12" t="s">
        <v>50</v>
      </c>
      <c r="B240" s="12">
        <v>35</v>
      </c>
      <c r="C240" s="12">
        <v>2</v>
      </c>
      <c r="D240" s="12">
        <v>2.2000000000000002</v>
      </c>
      <c r="E240" s="2">
        <v>1121733</v>
      </c>
      <c r="F240" s="16">
        <v>36748</v>
      </c>
      <c r="G240" s="1">
        <f t="shared" si="76"/>
        <v>3.2760023998580766E-2</v>
      </c>
      <c r="H240" s="23"/>
      <c r="I240" s="22"/>
      <c r="J240" s="23"/>
      <c r="K240" s="23"/>
    </row>
    <row r="241" spans="1:11" x14ac:dyDescent="0.25">
      <c r="A241" s="12" t="s">
        <v>50</v>
      </c>
      <c r="B241" s="12">
        <v>35</v>
      </c>
      <c r="C241" s="12">
        <v>2</v>
      </c>
      <c r="D241" s="12">
        <v>2.2999999999999998</v>
      </c>
      <c r="E241" s="2">
        <v>925966</v>
      </c>
      <c r="F241" s="16">
        <v>8151</v>
      </c>
      <c r="G241" s="1">
        <f t="shared" si="76"/>
        <v>8.8026990191864499E-3</v>
      </c>
      <c r="H241" s="23"/>
      <c r="I241" s="22"/>
      <c r="J241" s="23"/>
      <c r="K241" s="23"/>
    </row>
    <row r="242" spans="1:11" x14ac:dyDescent="0.25">
      <c r="A242" s="12" t="s">
        <v>50</v>
      </c>
      <c r="B242" s="12">
        <v>35</v>
      </c>
      <c r="C242" s="12">
        <v>2</v>
      </c>
      <c r="D242" s="12">
        <v>3.1</v>
      </c>
      <c r="E242" s="2">
        <v>1136666</v>
      </c>
      <c r="F242" s="16">
        <v>21885</v>
      </c>
      <c r="G242" s="1">
        <f t="shared" si="76"/>
        <v>1.9253676981628727E-2</v>
      </c>
      <c r="H242" s="23">
        <f t="shared" ref="H242" si="98">(SUM(F242:F244))/SUM(E242:E244)</f>
        <v>8.7313538355078095E-3</v>
      </c>
      <c r="I242" s="22" t="s">
        <v>87</v>
      </c>
      <c r="J242" s="23"/>
      <c r="K242" s="23"/>
    </row>
    <row r="243" spans="1:11" x14ac:dyDescent="0.25">
      <c r="A243" s="12" t="s">
        <v>50</v>
      </c>
      <c r="B243" s="12">
        <v>35</v>
      </c>
      <c r="C243" s="12">
        <v>2</v>
      </c>
      <c r="D243" s="12">
        <v>3.2</v>
      </c>
      <c r="E243" s="2">
        <v>830568</v>
      </c>
      <c r="F243" s="16">
        <v>3881</v>
      </c>
      <c r="G243" s="1">
        <f t="shared" si="76"/>
        <v>4.6727059072827273E-3</v>
      </c>
      <c r="H243" s="23"/>
      <c r="I243" s="22"/>
      <c r="J243" s="23"/>
      <c r="K243" s="23"/>
    </row>
    <row r="244" spans="1:11" x14ac:dyDescent="0.25">
      <c r="A244" s="12" t="s">
        <v>50</v>
      </c>
      <c r="B244" s="12">
        <v>35</v>
      </c>
      <c r="C244" s="12">
        <v>2</v>
      </c>
      <c r="D244" s="12">
        <v>3.3</v>
      </c>
      <c r="E244" s="2">
        <v>1102164</v>
      </c>
      <c r="F244" s="16">
        <v>1034</v>
      </c>
      <c r="G244" s="1">
        <f t="shared" si="76"/>
        <v>9.3815439444583566E-4</v>
      </c>
      <c r="H244" s="23"/>
      <c r="I244" s="22"/>
      <c r="J244" s="23"/>
      <c r="K244" s="23"/>
    </row>
    <row r="245" spans="1:11" x14ac:dyDescent="0.25">
      <c r="A245" s="12" t="s">
        <v>25</v>
      </c>
      <c r="B245" s="12">
        <v>45</v>
      </c>
      <c r="C245" s="12">
        <v>2</v>
      </c>
      <c r="D245" s="12">
        <v>1.1000000000000001</v>
      </c>
      <c r="E245" s="2">
        <v>1268045</v>
      </c>
      <c r="F245" s="16">
        <v>27937</v>
      </c>
      <c r="G245" s="1">
        <f t="shared" si="76"/>
        <v>2.203155250799459E-2</v>
      </c>
      <c r="H245" s="23">
        <f t="shared" ref="H245" si="99">(SUM(F245:F247))/SUM(E245:E247)</f>
        <v>8.3243793440256775E-3</v>
      </c>
      <c r="I245" s="22" t="s">
        <v>86</v>
      </c>
      <c r="J245" s="23">
        <f t="shared" ref="J245" si="100">AVERAGE(G246:G253)</f>
        <v>6.3299973725836501E-3</v>
      </c>
      <c r="K245" s="23">
        <f>AVERAGE(G245:G271)</f>
        <v>1.7277792689619861E-2</v>
      </c>
    </row>
    <row r="246" spans="1:11" x14ac:dyDescent="0.25">
      <c r="A246" s="12" t="s">
        <v>25</v>
      </c>
      <c r="B246" s="12">
        <v>45</v>
      </c>
      <c r="C246" s="12">
        <v>2</v>
      </c>
      <c r="D246" s="12">
        <v>1.2</v>
      </c>
      <c r="E246" s="2">
        <v>1126719</v>
      </c>
      <c r="F246" s="16">
        <v>0</v>
      </c>
      <c r="G246" s="1">
        <f t="shared" si="76"/>
        <v>0</v>
      </c>
      <c r="H246" s="23"/>
      <c r="I246" s="22"/>
      <c r="J246" s="23"/>
      <c r="K246" s="23"/>
    </row>
    <row r="247" spans="1:11" x14ac:dyDescent="0.25">
      <c r="A247" s="12" t="s">
        <v>25</v>
      </c>
      <c r="B247" s="12">
        <v>45</v>
      </c>
      <c r="C247" s="12">
        <v>2</v>
      </c>
      <c r="D247" s="12">
        <v>1.3</v>
      </c>
      <c r="E247" s="2">
        <v>961282</v>
      </c>
      <c r="F247" s="16">
        <v>0</v>
      </c>
      <c r="G247" s="1">
        <f t="shared" si="76"/>
        <v>0</v>
      </c>
      <c r="H247" s="23"/>
      <c r="I247" s="22"/>
      <c r="J247" s="23"/>
      <c r="K247" s="23"/>
    </row>
    <row r="248" spans="1:11" x14ac:dyDescent="0.25">
      <c r="A248" s="12" t="s">
        <v>25</v>
      </c>
      <c r="B248" s="12">
        <v>45</v>
      </c>
      <c r="C248" s="12">
        <v>2</v>
      </c>
      <c r="D248" s="12">
        <v>2.1</v>
      </c>
      <c r="E248" s="2">
        <v>1247165</v>
      </c>
      <c r="F248" s="16">
        <v>915</v>
      </c>
      <c r="G248" s="1">
        <f t="shared" si="76"/>
        <v>7.3366394983823309E-4</v>
      </c>
      <c r="H248" s="23">
        <f t="shared" ref="H248" si="101">(SUM(F248:F250))/SUM(E248:E250)</f>
        <v>2.7924600452889091E-4</v>
      </c>
      <c r="I248" s="22" t="s">
        <v>86</v>
      </c>
      <c r="J248" s="23"/>
      <c r="K248" s="23"/>
    </row>
    <row r="249" spans="1:11" x14ac:dyDescent="0.25">
      <c r="A249" s="12" t="s">
        <v>25</v>
      </c>
      <c r="B249" s="12">
        <v>45</v>
      </c>
      <c r="C249" s="12">
        <v>2</v>
      </c>
      <c r="D249" s="12">
        <v>2.2000000000000002</v>
      </c>
      <c r="E249" s="2">
        <v>1301172</v>
      </c>
      <c r="F249" s="16">
        <v>0</v>
      </c>
      <c r="G249" s="1">
        <f t="shared" si="76"/>
        <v>0</v>
      </c>
      <c r="H249" s="23"/>
      <c r="I249" s="22"/>
      <c r="J249" s="23"/>
      <c r="K249" s="23"/>
    </row>
    <row r="250" spans="1:11" x14ac:dyDescent="0.25">
      <c r="A250" s="12" t="s">
        <v>25</v>
      </c>
      <c r="B250" s="12">
        <v>45</v>
      </c>
      <c r="C250" s="12">
        <v>2</v>
      </c>
      <c r="D250" s="12">
        <v>2.2999999999999998</v>
      </c>
      <c r="E250" s="2">
        <v>1290572</v>
      </c>
      <c r="F250" s="16">
        <v>157</v>
      </c>
      <c r="G250" s="1">
        <f t="shared" si="76"/>
        <v>1.2165148476799435E-4</v>
      </c>
      <c r="H250" s="23"/>
      <c r="I250" s="22"/>
      <c r="J250" s="23"/>
      <c r="K250" s="23"/>
    </row>
    <row r="251" spans="1:11" x14ac:dyDescent="0.25">
      <c r="A251" s="12" t="s">
        <v>25</v>
      </c>
      <c r="B251" s="12">
        <v>45</v>
      </c>
      <c r="C251" s="12">
        <v>2</v>
      </c>
      <c r="D251" s="12">
        <v>3.1</v>
      </c>
      <c r="E251" s="2">
        <v>1670575</v>
      </c>
      <c r="F251" s="16">
        <v>9214</v>
      </c>
      <c r="G251" s="1">
        <f t="shared" si="76"/>
        <v>5.5154662316866951E-3</v>
      </c>
      <c r="H251" s="23">
        <f t="shared" ref="H251" si="102">(SUM(F251:F253))/SUM(E251:E253)</f>
        <v>1.7083122916514447E-2</v>
      </c>
      <c r="I251" s="22" t="s">
        <v>87</v>
      </c>
      <c r="J251" s="23"/>
      <c r="K251" s="23"/>
    </row>
    <row r="252" spans="1:11" x14ac:dyDescent="0.25">
      <c r="A252" s="12" t="s">
        <v>25</v>
      </c>
      <c r="B252" s="12">
        <v>45</v>
      </c>
      <c r="C252" s="12">
        <v>2</v>
      </c>
      <c r="D252" s="12">
        <v>3.2</v>
      </c>
      <c r="E252" s="2">
        <v>1985602</v>
      </c>
      <c r="F252" s="16">
        <f>32466+1077</f>
        <v>33543</v>
      </c>
      <c r="G252" s="1">
        <f t="shared" si="76"/>
        <v>1.6893113524261157E-2</v>
      </c>
      <c r="H252" s="23"/>
      <c r="I252" s="22"/>
      <c r="J252" s="23"/>
      <c r="K252" s="23"/>
    </row>
    <row r="253" spans="1:11" x14ac:dyDescent="0.25">
      <c r="A253" s="12" t="s">
        <v>25</v>
      </c>
      <c r="B253" s="12">
        <v>45</v>
      </c>
      <c r="C253" s="12">
        <v>2</v>
      </c>
      <c r="D253" s="12">
        <v>3.3</v>
      </c>
      <c r="E253" s="2">
        <v>1914116</v>
      </c>
      <c r="F253" s="16">
        <f>10030+12981+29390</f>
        <v>52401</v>
      </c>
      <c r="G253" s="1">
        <f t="shared" si="76"/>
        <v>2.7376083790115125E-2</v>
      </c>
      <c r="H253" s="23"/>
      <c r="I253" s="22"/>
      <c r="J253" s="23"/>
      <c r="K253" s="23"/>
    </row>
    <row r="254" spans="1:11" x14ac:dyDescent="0.25">
      <c r="A254" s="12" t="s">
        <v>27</v>
      </c>
      <c r="B254" s="12">
        <v>45</v>
      </c>
      <c r="C254" s="12">
        <v>2</v>
      </c>
      <c r="D254" s="12">
        <v>1.1000000000000001</v>
      </c>
      <c r="E254" s="2">
        <v>1222353</v>
      </c>
      <c r="F254" s="16">
        <v>0</v>
      </c>
      <c r="G254" s="1">
        <f t="shared" si="76"/>
        <v>0</v>
      </c>
      <c r="H254" s="23">
        <f t="shared" ref="H254" si="103">(SUM(F254:F256))/SUM(E254:E256)</f>
        <v>0</v>
      </c>
      <c r="I254" s="22" t="s">
        <v>86</v>
      </c>
      <c r="J254" s="23">
        <f t="shared" ref="J254" si="104">AVERAGE(G254:G262)</f>
        <v>7.9950219189385083E-3</v>
      </c>
      <c r="K254" s="23"/>
    </row>
    <row r="255" spans="1:11" x14ac:dyDescent="0.25">
      <c r="A255" s="12" t="s">
        <v>27</v>
      </c>
      <c r="B255" s="12">
        <v>45</v>
      </c>
      <c r="C255" s="12">
        <v>2</v>
      </c>
      <c r="D255" s="12">
        <v>1.2</v>
      </c>
      <c r="E255" s="2">
        <v>1213607</v>
      </c>
      <c r="F255" s="16">
        <v>0</v>
      </c>
      <c r="G255" s="1">
        <f t="shared" si="76"/>
        <v>0</v>
      </c>
      <c r="H255" s="23"/>
      <c r="I255" s="22"/>
      <c r="J255" s="23"/>
      <c r="K255" s="23"/>
    </row>
    <row r="256" spans="1:11" x14ac:dyDescent="0.25">
      <c r="A256" s="12" t="s">
        <v>27</v>
      </c>
      <c r="B256" s="12">
        <v>45</v>
      </c>
      <c r="C256" s="12">
        <v>2</v>
      </c>
      <c r="D256" s="12">
        <v>1.3</v>
      </c>
      <c r="E256" s="2">
        <v>514278</v>
      </c>
      <c r="F256" s="16">
        <v>0</v>
      </c>
      <c r="G256" s="1">
        <f t="shared" si="76"/>
        <v>0</v>
      </c>
      <c r="H256" s="23"/>
      <c r="I256" s="22"/>
      <c r="J256" s="23"/>
      <c r="K256" s="23"/>
    </row>
    <row r="257" spans="1:11" x14ac:dyDescent="0.25">
      <c r="A257" s="12" t="s">
        <v>27</v>
      </c>
      <c r="B257" s="12">
        <v>45</v>
      </c>
      <c r="C257" s="12">
        <v>2</v>
      </c>
      <c r="D257" s="12">
        <v>2.1</v>
      </c>
      <c r="E257" s="2">
        <v>2969560</v>
      </c>
      <c r="F257" s="16">
        <v>6196</v>
      </c>
      <c r="G257" s="1">
        <f t="shared" si="76"/>
        <v>2.0865043979579464E-3</v>
      </c>
      <c r="H257" s="23">
        <f t="shared" ref="H257" si="105">(SUM(F257:F259))/SUM(E257:E259)</f>
        <v>3.1369789648648927E-3</v>
      </c>
      <c r="I257" s="22" t="s">
        <v>87</v>
      </c>
      <c r="J257" s="23"/>
      <c r="K257" s="23"/>
    </row>
    <row r="258" spans="1:11" x14ac:dyDescent="0.25">
      <c r="A258" s="12" t="s">
        <v>27</v>
      </c>
      <c r="B258" s="12">
        <v>45</v>
      </c>
      <c r="C258" s="12">
        <v>2</v>
      </c>
      <c r="D258" s="12">
        <v>2.2000000000000002</v>
      </c>
      <c r="E258" s="2">
        <v>2231078</v>
      </c>
      <c r="F258" s="16">
        <v>14244</v>
      </c>
      <c r="G258" s="1">
        <f t="shared" ref="G258:G321" si="106">F258/E258</f>
        <v>6.3843576961450923E-3</v>
      </c>
      <c r="H258" s="23"/>
      <c r="I258" s="22"/>
      <c r="J258" s="23"/>
      <c r="K258" s="23"/>
    </row>
    <row r="259" spans="1:11" x14ac:dyDescent="0.25">
      <c r="A259" s="12" t="s">
        <v>27</v>
      </c>
      <c r="B259" s="12">
        <v>45</v>
      </c>
      <c r="C259" s="12">
        <v>2</v>
      </c>
      <c r="D259" s="12">
        <v>2.2999999999999998</v>
      </c>
      <c r="E259" s="2">
        <v>2010440</v>
      </c>
      <c r="F259" s="16">
        <v>2181</v>
      </c>
      <c r="G259" s="1">
        <f t="shared" si="106"/>
        <v>1.0848371500766002E-3</v>
      </c>
      <c r="H259" s="23"/>
      <c r="I259" s="22"/>
      <c r="J259" s="23"/>
      <c r="K259" s="23"/>
    </row>
    <row r="260" spans="1:11" x14ac:dyDescent="0.25">
      <c r="A260" s="12" t="s">
        <v>27</v>
      </c>
      <c r="B260" s="12">
        <v>45</v>
      </c>
      <c r="C260" s="12">
        <v>2</v>
      </c>
      <c r="D260" s="12">
        <v>3.1</v>
      </c>
      <c r="E260" s="2">
        <v>1415444</v>
      </c>
      <c r="F260" s="16">
        <v>6779</v>
      </c>
      <c r="G260" s="1">
        <f t="shared" si="106"/>
        <v>4.7893099267791589E-3</v>
      </c>
      <c r="H260" s="23">
        <f t="shared" ref="H260" si="107">(SUM(F260:F262))/SUM(E260:E262)</f>
        <v>1.9917819895304799E-2</v>
      </c>
      <c r="I260" s="22" t="s">
        <v>87</v>
      </c>
      <c r="J260" s="23"/>
      <c r="K260" s="23"/>
    </row>
    <row r="261" spans="1:11" x14ac:dyDescent="0.25">
      <c r="A261" s="12" t="s">
        <v>27</v>
      </c>
      <c r="B261" s="12">
        <v>45</v>
      </c>
      <c r="C261" s="12">
        <v>2</v>
      </c>
      <c r="D261" s="12">
        <v>3.2</v>
      </c>
      <c r="E261" s="2">
        <v>1331958</v>
      </c>
      <c r="F261" s="16">
        <v>36768</v>
      </c>
      <c r="G261" s="1">
        <f t="shared" si="106"/>
        <v>2.7604474014946416E-2</v>
      </c>
      <c r="H261" s="23"/>
      <c r="I261" s="22"/>
      <c r="J261" s="23"/>
      <c r="K261" s="23"/>
    </row>
    <row r="262" spans="1:11" x14ac:dyDescent="0.25">
      <c r="A262" s="12" t="s">
        <v>27</v>
      </c>
      <c r="B262" s="12">
        <v>45</v>
      </c>
      <c r="C262" s="12">
        <v>2</v>
      </c>
      <c r="D262" s="12">
        <v>3.3</v>
      </c>
      <c r="E262" s="2">
        <v>1107789</v>
      </c>
      <c r="F262" s="16">
        <v>33240</v>
      </c>
      <c r="G262" s="1">
        <f t="shared" si="106"/>
        <v>3.000571408454137E-2</v>
      </c>
      <c r="H262" s="23"/>
      <c r="I262" s="22"/>
      <c r="J262" s="23"/>
      <c r="K262" s="23"/>
    </row>
    <row r="263" spans="1:11" x14ac:dyDescent="0.25">
      <c r="A263" s="12" t="s">
        <v>26</v>
      </c>
      <c r="B263" s="12">
        <v>45</v>
      </c>
      <c r="C263" s="12">
        <v>2</v>
      </c>
      <c r="D263" s="12">
        <v>1.1000000000000001</v>
      </c>
      <c r="E263" s="2">
        <v>2191368</v>
      </c>
      <c r="F263" s="16">
        <v>80002</v>
      </c>
      <c r="G263" s="1">
        <f t="shared" si="106"/>
        <v>3.6507788742009557E-2</v>
      </c>
      <c r="H263" s="23">
        <f t="shared" ref="H263" si="108">(SUM(F263:F265))/SUM(E263:E265)</f>
        <v>3.9610702790630781E-2</v>
      </c>
      <c r="I263" s="22" t="s">
        <v>87</v>
      </c>
      <c r="J263" s="23">
        <f t="shared" ref="J263" si="109">AVERAGE(G263:G271)</f>
        <v>3.5763741540069553E-2</v>
      </c>
      <c r="K263" s="23"/>
    </row>
    <row r="264" spans="1:11" x14ac:dyDescent="0.25">
      <c r="A264" s="12" t="s">
        <v>26</v>
      </c>
      <c r="B264" s="12">
        <v>45</v>
      </c>
      <c r="C264" s="12">
        <v>2</v>
      </c>
      <c r="D264" s="12">
        <v>1.2</v>
      </c>
      <c r="E264" s="2">
        <v>2312568</v>
      </c>
      <c r="F264" s="16">
        <v>159715</v>
      </c>
      <c r="G264" s="1">
        <f t="shared" si="106"/>
        <v>6.9063915093523734E-2</v>
      </c>
      <c r="H264" s="23"/>
      <c r="I264" s="22"/>
      <c r="J264" s="23"/>
      <c r="K264" s="23"/>
    </row>
    <row r="265" spans="1:11" x14ac:dyDescent="0.25">
      <c r="A265" s="12" t="s">
        <v>26</v>
      </c>
      <c r="B265" s="12">
        <v>45</v>
      </c>
      <c r="C265" s="12">
        <v>2</v>
      </c>
      <c r="D265" s="12">
        <v>1.3</v>
      </c>
      <c r="E265" s="2">
        <v>1948512</v>
      </c>
      <c r="F265" s="16">
        <v>15869</v>
      </c>
      <c r="G265" s="1">
        <f t="shared" si="106"/>
        <v>8.1441633410520436E-3</v>
      </c>
      <c r="H265" s="23"/>
      <c r="I265" s="22"/>
      <c r="J265" s="23"/>
      <c r="K265" s="23"/>
    </row>
    <row r="266" spans="1:11" x14ac:dyDescent="0.25">
      <c r="A266" s="12" t="s">
        <v>26</v>
      </c>
      <c r="B266" s="12">
        <v>45</v>
      </c>
      <c r="C266" s="12">
        <v>2</v>
      </c>
      <c r="D266" s="12">
        <v>2.1</v>
      </c>
      <c r="E266" s="2">
        <v>932790</v>
      </c>
      <c r="F266" s="16">
        <f>8584+4641+279+5103+3142+5320</f>
        <v>27069</v>
      </c>
      <c r="G266" s="1">
        <f t="shared" si="106"/>
        <v>2.9019393432605411E-2</v>
      </c>
      <c r="H266" s="23">
        <f t="shared" ref="H266" si="110">(SUM(F266:F268))/SUM(E266:E268)</f>
        <v>4.3882780400417112E-2</v>
      </c>
      <c r="I266" s="22" t="s">
        <v>87</v>
      </c>
      <c r="J266" s="23"/>
      <c r="K266" s="23"/>
    </row>
    <row r="267" spans="1:11" x14ac:dyDescent="0.25">
      <c r="A267" s="12" t="s">
        <v>26</v>
      </c>
      <c r="B267" s="12">
        <v>45</v>
      </c>
      <c r="C267" s="12">
        <v>2</v>
      </c>
      <c r="D267" s="12">
        <v>2.2000000000000002</v>
      </c>
      <c r="E267" s="2">
        <v>1061249</v>
      </c>
      <c r="F267" s="16">
        <f>27595+383+622+6906</f>
        <v>35506</v>
      </c>
      <c r="G267" s="1">
        <f t="shared" si="106"/>
        <v>3.3456804199579929E-2</v>
      </c>
      <c r="H267" s="23"/>
      <c r="I267" s="22"/>
      <c r="J267" s="23"/>
      <c r="K267" s="23"/>
    </row>
    <row r="268" spans="1:11" x14ac:dyDescent="0.25">
      <c r="A268" s="12" t="s">
        <v>26</v>
      </c>
      <c r="B268" s="12">
        <v>45</v>
      </c>
      <c r="C268" s="12">
        <v>2</v>
      </c>
      <c r="D268" s="12">
        <v>2.2999999999999998</v>
      </c>
      <c r="E268" s="2">
        <v>1371951</v>
      </c>
      <c r="F268" s="16">
        <f>9610+5846+676+5327+4757+56417+2501</f>
        <v>85134</v>
      </c>
      <c r="G268" s="1">
        <f t="shared" si="106"/>
        <v>6.2053236595184524E-2</v>
      </c>
      <c r="H268" s="23"/>
      <c r="I268" s="22"/>
      <c r="J268" s="23"/>
      <c r="K268" s="23"/>
    </row>
    <row r="269" spans="1:11" x14ac:dyDescent="0.25">
      <c r="A269" s="12" t="s">
        <v>26</v>
      </c>
      <c r="B269" s="12">
        <v>45</v>
      </c>
      <c r="C269" s="12">
        <v>2</v>
      </c>
      <c r="D269" s="12">
        <v>3.1</v>
      </c>
      <c r="E269" s="2">
        <v>1061904</v>
      </c>
      <c r="F269" s="16">
        <f>18805+207+3796+1010</f>
        <v>23818</v>
      </c>
      <c r="G269" s="1">
        <f t="shared" si="106"/>
        <v>2.2429522819388571E-2</v>
      </c>
      <c r="H269" s="23">
        <f t="shared" ref="H269" si="111">(SUM(F269:F271))/SUM(E269:E271)</f>
        <v>2.860169622510161E-2</v>
      </c>
      <c r="I269" s="22" t="s">
        <v>87</v>
      </c>
      <c r="J269" s="23"/>
      <c r="K269" s="23"/>
    </row>
    <row r="270" spans="1:11" x14ac:dyDescent="0.25">
      <c r="A270" s="12" t="s">
        <v>26</v>
      </c>
      <c r="B270" s="12">
        <v>45</v>
      </c>
      <c r="C270" s="12">
        <v>2</v>
      </c>
      <c r="D270" s="12">
        <v>3.2</v>
      </c>
      <c r="E270" s="2">
        <v>1137210</v>
      </c>
      <c r="F270" s="16">
        <v>59624</v>
      </c>
      <c r="G270" s="1">
        <f t="shared" si="106"/>
        <v>5.2430070083801586E-2</v>
      </c>
      <c r="H270" s="23"/>
      <c r="I270" s="22"/>
      <c r="J270" s="23"/>
      <c r="K270" s="23"/>
    </row>
    <row r="271" spans="1:11" x14ac:dyDescent="0.25">
      <c r="A271" s="12" t="s">
        <v>26</v>
      </c>
      <c r="B271" s="12">
        <v>45</v>
      </c>
      <c r="C271" s="12">
        <v>2</v>
      </c>
      <c r="D271" s="12">
        <v>3.3</v>
      </c>
      <c r="E271" s="2">
        <v>1035834</v>
      </c>
      <c r="F271" s="16">
        <v>9083</v>
      </c>
      <c r="G271" s="1">
        <f t="shared" si="106"/>
        <v>8.7687795534805765E-3</v>
      </c>
      <c r="H271" s="23"/>
      <c r="I271" s="22"/>
      <c r="J271" s="23"/>
      <c r="K271" s="23"/>
    </row>
    <row r="272" spans="1:11" x14ac:dyDescent="0.25">
      <c r="A272" s="12" t="s">
        <v>74</v>
      </c>
      <c r="B272" s="12">
        <v>5</v>
      </c>
      <c r="C272" s="12">
        <v>3</v>
      </c>
      <c r="D272" s="12">
        <v>1.1000000000000001</v>
      </c>
      <c r="E272" s="2">
        <v>1406341</v>
      </c>
      <c r="F272" s="16">
        <f>43089+43257+68077</f>
        <v>154423</v>
      </c>
      <c r="G272" s="1">
        <f t="shared" si="106"/>
        <v>0.10980480552014056</v>
      </c>
      <c r="H272" s="23">
        <f t="shared" ref="H272" si="112">(SUM(F272:F274))/SUM(E272:E274)</f>
        <v>0.11352558434786551</v>
      </c>
      <c r="I272" s="22" t="s">
        <v>87</v>
      </c>
      <c r="J272" s="23">
        <f t="shared" ref="J272" si="113">AVERAGE(G273:G280)</f>
        <v>3.1846221895371021E-2</v>
      </c>
      <c r="K272" s="23">
        <f>AVERAGE(G272:G298)</f>
        <v>2.9263695835921789E-2</v>
      </c>
    </row>
    <row r="273" spans="1:11" x14ac:dyDescent="0.25">
      <c r="A273" s="12" t="s">
        <v>74</v>
      </c>
      <c r="B273" s="12">
        <v>5</v>
      </c>
      <c r="C273" s="12">
        <v>3</v>
      </c>
      <c r="D273" s="12">
        <v>1.2</v>
      </c>
      <c r="E273" s="2">
        <v>1425039</v>
      </c>
      <c r="F273" s="16">
        <v>149348</v>
      </c>
      <c r="G273" s="1">
        <f t="shared" si="106"/>
        <v>0.10480274574941457</v>
      </c>
      <c r="H273" s="23"/>
      <c r="I273" s="22"/>
      <c r="J273" s="23"/>
      <c r="K273" s="23"/>
    </row>
    <row r="274" spans="1:11" x14ac:dyDescent="0.25">
      <c r="A274" s="12" t="s">
        <v>74</v>
      </c>
      <c r="B274" s="12">
        <v>5</v>
      </c>
      <c r="C274" s="12">
        <v>3</v>
      </c>
      <c r="D274" s="12">
        <v>1.3</v>
      </c>
      <c r="E274" s="2">
        <v>1579520</v>
      </c>
      <c r="F274" s="16">
        <v>196979</v>
      </c>
      <c r="G274" s="1">
        <f t="shared" si="106"/>
        <v>0.1247081391815235</v>
      </c>
      <c r="H274" s="23"/>
      <c r="I274" s="22"/>
      <c r="J274" s="23"/>
      <c r="K274" s="23"/>
    </row>
    <row r="275" spans="1:11" x14ac:dyDescent="0.25">
      <c r="A275" s="12" t="s">
        <v>74</v>
      </c>
      <c r="B275" s="12">
        <v>5</v>
      </c>
      <c r="C275" s="12">
        <v>3</v>
      </c>
      <c r="D275" s="12">
        <v>2.1</v>
      </c>
      <c r="E275" s="2">
        <v>1734401</v>
      </c>
      <c r="F275" s="16">
        <v>12956</v>
      </c>
      <c r="G275" s="1">
        <f t="shared" si="106"/>
        <v>7.4700141432114025E-3</v>
      </c>
      <c r="H275" s="23">
        <f t="shared" ref="H275" si="114">(SUM(F275:F277))/SUM(E275:E277)</f>
        <v>5.110654986403511E-3</v>
      </c>
      <c r="I275" s="22" t="s">
        <v>86</v>
      </c>
      <c r="J275" s="23"/>
      <c r="K275" s="23"/>
    </row>
    <row r="276" spans="1:11" x14ac:dyDescent="0.25">
      <c r="A276" s="12" t="s">
        <v>74</v>
      </c>
      <c r="B276" s="12">
        <v>5</v>
      </c>
      <c r="C276" s="12">
        <v>3</v>
      </c>
      <c r="D276" s="12">
        <v>2.2000000000000002</v>
      </c>
      <c r="E276" s="2">
        <v>1973166</v>
      </c>
      <c r="F276" s="16">
        <v>15961</v>
      </c>
      <c r="G276" s="1">
        <f t="shared" si="106"/>
        <v>8.0890305225206592E-3</v>
      </c>
      <c r="H276" s="23"/>
      <c r="I276" s="22"/>
      <c r="J276" s="23"/>
      <c r="K276" s="23"/>
    </row>
    <row r="277" spans="1:11" x14ac:dyDescent="0.25">
      <c r="A277" s="12" t="s">
        <v>74</v>
      </c>
      <c r="B277" s="12">
        <v>5</v>
      </c>
      <c r="C277" s="12">
        <v>3</v>
      </c>
      <c r="D277" s="12">
        <v>2.2999999999999998</v>
      </c>
      <c r="E277" s="2">
        <v>2003834</v>
      </c>
      <c r="F277" s="16">
        <v>272</v>
      </c>
      <c r="G277" s="1">
        <f t="shared" si="106"/>
        <v>1.3573978682864947E-4</v>
      </c>
      <c r="H277" s="23"/>
      <c r="I277" s="22"/>
      <c r="J277" s="23"/>
      <c r="K277" s="23"/>
    </row>
    <row r="278" spans="1:11" x14ac:dyDescent="0.25">
      <c r="A278" s="12" t="s">
        <v>74</v>
      </c>
      <c r="B278" s="12">
        <v>5</v>
      </c>
      <c r="C278" s="12">
        <v>3</v>
      </c>
      <c r="D278" s="12">
        <v>3.1</v>
      </c>
      <c r="E278" s="2">
        <v>1695269</v>
      </c>
      <c r="F278" s="16">
        <v>3038</v>
      </c>
      <c r="G278" s="1">
        <f t="shared" si="106"/>
        <v>1.7920459820830795E-3</v>
      </c>
      <c r="H278" s="23">
        <f t="shared" ref="H278" si="115">(SUM(F278:F280))/SUM(E278:E280)</f>
        <v>3.0993520726997487E-3</v>
      </c>
      <c r="I278" s="22" t="s">
        <v>86</v>
      </c>
      <c r="J278" s="23"/>
      <c r="K278" s="23"/>
    </row>
    <row r="279" spans="1:11" x14ac:dyDescent="0.25">
      <c r="A279" s="12" t="s">
        <v>74</v>
      </c>
      <c r="B279" s="12">
        <v>5</v>
      </c>
      <c r="C279" s="12">
        <v>3</v>
      </c>
      <c r="D279" s="12">
        <v>3.2</v>
      </c>
      <c r="E279" s="2">
        <v>1415352</v>
      </c>
      <c r="F279" s="16">
        <v>6727</v>
      </c>
      <c r="G279" s="1">
        <f t="shared" si="106"/>
        <v>4.7528812620464735E-3</v>
      </c>
      <c r="H279" s="23"/>
      <c r="I279" s="22"/>
      <c r="J279" s="23"/>
      <c r="K279" s="23"/>
    </row>
    <row r="280" spans="1:11" x14ac:dyDescent="0.25">
      <c r="A280" s="12" t="s">
        <v>74</v>
      </c>
      <c r="B280" s="12">
        <v>5</v>
      </c>
      <c r="C280" s="12">
        <v>3</v>
      </c>
      <c r="D280" s="12">
        <v>3.3</v>
      </c>
      <c r="E280" s="2">
        <v>1547772</v>
      </c>
      <c r="F280" s="16">
        <v>4673</v>
      </c>
      <c r="G280" s="1">
        <f t="shared" si="106"/>
        <v>3.0191785353398306E-3</v>
      </c>
      <c r="H280" s="23"/>
      <c r="I280" s="22"/>
      <c r="J280" s="23"/>
      <c r="K280" s="23"/>
    </row>
    <row r="281" spans="1:11" x14ac:dyDescent="0.25">
      <c r="A281" s="12" t="s">
        <v>73</v>
      </c>
      <c r="B281" s="12">
        <v>5</v>
      </c>
      <c r="C281" s="12">
        <v>3</v>
      </c>
      <c r="D281" s="12">
        <v>1.1000000000000001</v>
      </c>
      <c r="E281" s="2">
        <v>2312884</v>
      </c>
      <c r="F281" s="16">
        <v>558</v>
      </c>
      <c r="G281" s="1">
        <f t="shared" si="106"/>
        <v>2.4125723555526348E-4</v>
      </c>
      <c r="H281" s="23">
        <f t="shared" ref="H281" si="116">(SUM(F281:F283))/SUM(E281:E283)</f>
        <v>3.6080992024346585E-3</v>
      </c>
      <c r="I281" s="22" t="s">
        <v>86</v>
      </c>
      <c r="J281" s="23">
        <f t="shared" ref="J281" si="117">AVERAGE(G281:G289)</f>
        <v>2.9218271815290584E-3</v>
      </c>
      <c r="K281" s="23"/>
    </row>
    <row r="282" spans="1:11" x14ac:dyDescent="0.25">
      <c r="A282" s="12" t="s">
        <v>73</v>
      </c>
      <c r="B282" s="12">
        <v>5</v>
      </c>
      <c r="C282" s="12">
        <v>3</v>
      </c>
      <c r="D282" s="12">
        <v>1.2</v>
      </c>
      <c r="E282" s="2">
        <v>2590408</v>
      </c>
      <c r="F282" s="16">
        <v>8351</v>
      </c>
      <c r="G282" s="1">
        <f t="shared" si="106"/>
        <v>3.2238164798749848E-3</v>
      </c>
      <c r="H282" s="23"/>
      <c r="I282" s="22"/>
      <c r="J282" s="23"/>
      <c r="K282" s="23"/>
    </row>
    <row r="283" spans="1:11" x14ac:dyDescent="0.25">
      <c r="A283" s="12" t="s">
        <v>73</v>
      </c>
      <c r="B283" s="12">
        <v>5</v>
      </c>
      <c r="C283" s="12">
        <v>3</v>
      </c>
      <c r="D283" s="12">
        <v>1.3</v>
      </c>
      <c r="E283" s="2">
        <v>2365078</v>
      </c>
      <c r="F283" s="16">
        <v>17316</v>
      </c>
      <c r="G283" s="1">
        <f t="shared" si="106"/>
        <v>7.3215344271943678E-3</v>
      </c>
      <c r="H283" s="23"/>
      <c r="I283" s="22"/>
      <c r="J283" s="23"/>
      <c r="K283" s="23"/>
    </row>
    <row r="284" spans="1:11" x14ac:dyDescent="0.25">
      <c r="A284" s="12" t="s">
        <v>73</v>
      </c>
      <c r="B284" s="12">
        <v>5</v>
      </c>
      <c r="C284" s="12">
        <v>3</v>
      </c>
      <c r="D284" s="12">
        <v>2.1</v>
      </c>
      <c r="E284" s="2">
        <v>1246643</v>
      </c>
      <c r="F284" s="16">
        <v>0</v>
      </c>
      <c r="G284" s="1">
        <f t="shared" si="106"/>
        <v>0</v>
      </c>
      <c r="H284" s="23">
        <f t="shared" ref="H284" si="118">(SUM(F284:F286))/SUM(E284:E286)</f>
        <v>2.2682275544862089E-3</v>
      </c>
      <c r="I284" s="22" t="s">
        <v>86</v>
      </c>
      <c r="J284" s="23"/>
      <c r="K284" s="23"/>
    </row>
    <row r="285" spans="1:11" x14ac:dyDescent="0.25">
      <c r="A285" s="12" t="s">
        <v>73</v>
      </c>
      <c r="B285" s="12">
        <v>5</v>
      </c>
      <c r="C285" s="12">
        <v>3</v>
      </c>
      <c r="D285" s="12">
        <v>2.2000000000000002</v>
      </c>
      <c r="E285" s="2">
        <v>2324994</v>
      </c>
      <c r="F285" s="16">
        <v>5194</v>
      </c>
      <c r="G285" s="1">
        <f t="shared" si="106"/>
        <v>2.2339842597443264E-3</v>
      </c>
      <c r="H285" s="23"/>
      <c r="I285" s="22"/>
      <c r="J285" s="23"/>
      <c r="K285" s="23"/>
    </row>
    <row r="286" spans="1:11" x14ac:dyDescent="0.25">
      <c r="A286" s="12" t="s">
        <v>73</v>
      </c>
      <c r="B286" s="12">
        <v>5</v>
      </c>
      <c r="C286" s="12">
        <v>3</v>
      </c>
      <c r="D286" s="12">
        <v>2.2999999999999998</v>
      </c>
      <c r="E286" s="2">
        <v>2233777</v>
      </c>
      <c r="F286" s="16">
        <v>7974</v>
      </c>
      <c r="G286" s="1">
        <f t="shared" si="106"/>
        <v>3.5697386086435664E-3</v>
      </c>
      <c r="H286" s="23"/>
      <c r="I286" s="22"/>
      <c r="J286" s="23"/>
      <c r="K286" s="23"/>
    </row>
    <row r="287" spans="1:11" x14ac:dyDescent="0.25">
      <c r="A287" s="12" t="s">
        <v>73</v>
      </c>
      <c r="B287" s="12">
        <v>5</v>
      </c>
      <c r="C287" s="12">
        <v>3</v>
      </c>
      <c r="D287" s="12">
        <v>3.1</v>
      </c>
      <c r="E287" s="2">
        <v>2065079</v>
      </c>
      <c r="F287" s="16">
        <v>5533</v>
      </c>
      <c r="G287" s="1">
        <f t="shared" si="106"/>
        <v>2.6793163845063553E-3</v>
      </c>
      <c r="H287" s="23">
        <f t="shared" ref="H287" si="119">(SUM(F287:F289))/SUM(E287:E289)</f>
        <v>3.1849493823421378E-3</v>
      </c>
      <c r="I287" s="22" t="s">
        <v>87</v>
      </c>
      <c r="J287" s="23"/>
      <c r="K287" s="23"/>
    </row>
    <row r="288" spans="1:11" x14ac:dyDescent="0.25">
      <c r="A288" s="12" t="s">
        <v>73</v>
      </c>
      <c r="B288" s="12">
        <v>5</v>
      </c>
      <c r="C288" s="12">
        <v>3</v>
      </c>
      <c r="D288" s="12">
        <v>3.2</v>
      </c>
      <c r="E288" s="2">
        <v>1704315</v>
      </c>
      <c r="F288" s="16">
        <v>7686</v>
      </c>
      <c r="G288" s="1">
        <f t="shared" si="106"/>
        <v>4.5097297154575297E-3</v>
      </c>
      <c r="H288" s="23"/>
      <c r="I288" s="22"/>
      <c r="J288" s="23"/>
      <c r="K288" s="23"/>
    </row>
    <row r="289" spans="1:11" x14ac:dyDescent="0.25">
      <c r="A289" s="12" t="s">
        <v>73</v>
      </c>
      <c r="B289" s="12">
        <v>5</v>
      </c>
      <c r="C289" s="12">
        <v>3</v>
      </c>
      <c r="D289" s="12">
        <v>3.3</v>
      </c>
      <c r="E289" s="2">
        <v>1817194</v>
      </c>
      <c r="F289" s="16">
        <v>4574</v>
      </c>
      <c r="G289" s="1">
        <f t="shared" si="106"/>
        <v>2.517067522785129E-3</v>
      </c>
      <c r="H289" s="23"/>
      <c r="I289" s="22"/>
      <c r="J289" s="23"/>
      <c r="K289" s="23"/>
    </row>
    <row r="290" spans="1:11" x14ac:dyDescent="0.25">
      <c r="A290" s="12" t="s">
        <v>75</v>
      </c>
      <c r="B290" s="12">
        <v>5</v>
      </c>
      <c r="C290" s="12">
        <v>3</v>
      </c>
      <c r="D290" s="12">
        <v>1.1000000000000001</v>
      </c>
      <c r="E290" s="2">
        <v>759606</v>
      </c>
      <c r="F290" s="16">
        <v>28630</v>
      </c>
      <c r="G290" s="1">
        <f t="shared" si="106"/>
        <v>3.7690592228076136E-2</v>
      </c>
      <c r="H290" s="23">
        <f t="shared" ref="H290" si="120">(SUM(F290:F292))/SUM(E290:E292)</f>
        <v>5.0387279944795214E-2</v>
      </c>
      <c r="I290" s="22" t="s">
        <v>87</v>
      </c>
      <c r="J290" s="23">
        <f t="shared" ref="J290" si="121">AVERAGE(G290:G298)</f>
        <v>4.4360973583668688E-2</v>
      </c>
      <c r="K290" s="23"/>
    </row>
    <row r="291" spans="1:11" x14ac:dyDescent="0.25">
      <c r="A291" s="12" t="s">
        <v>75</v>
      </c>
      <c r="B291" s="12">
        <v>5</v>
      </c>
      <c r="C291" s="12">
        <v>3</v>
      </c>
      <c r="D291" s="12">
        <v>1.2</v>
      </c>
      <c r="E291" s="2">
        <v>739122</v>
      </c>
      <c r="F291" s="16">
        <f>37190+10229</f>
        <v>47419</v>
      </c>
      <c r="G291" s="1">
        <f t="shared" si="106"/>
        <v>6.4155849778520999E-2</v>
      </c>
      <c r="H291" s="23"/>
      <c r="I291" s="22"/>
      <c r="J291" s="23"/>
      <c r="K291" s="23"/>
    </row>
    <row r="292" spans="1:11" x14ac:dyDescent="0.25">
      <c r="A292" s="12" t="s">
        <v>75</v>
      </c>
      <c r="B292" s="12">
        <v>5</v>
      </c>
      <c r="C292" s="12">
        <v>3</v>
      </c>
      <c r="D292" s="12">
        <v>1.3</v>
      </c>
      <c r="E292" s="2">
        <v>592395</v>
      </c>
      <c r="F292" s="16">
        <f>4664+3652+1762+17737+1502</f>
        <v>29317</v>
      </c>
      <c r="G292" s="1">
        <f t="shared" si="106"/>
        <v>4.9488938968087169E-2</v>
      </c>
      <c r="H292" s="23"/>
      <c r="I292" s="22"/>
      <c r="J292" s="23"/>
      <c r="K292" s="23"/>
    </row>
    <row r="293" spans="1:11" x14ac:dyDescent="0.25">
      <c r="A293" s="12" t="s">
        <v>75</v>
      </c>
      <c r="B293" s="12">
        <v>5</v>
      </c>
      <c r="C293" s="12">
        <v>3</v>
      </c>
      <c r="D293" s="12">
        <v>2.1</v>
      </c>
      <c r="E293" s="2">
        <v>1255426</v>
      </c>
      <c r="F293" s="16">
        <v>19917</v>
      </c>
      <c r="G293" s="1">
        <f t="shared" si="106"/>
        <v>1.58647343610854E-2</v>
      </c>
      <c r="H293" s="23">
        <f t="shared" ref="H293" si="122">(SUM(F293:F295))/SUM(E293:E295)</f>
        <v>3.5103359522831126E-2</v>
      </c>
      <c r="I293" s="22" t="s">
        <v>87</v>
      </c>
      <c r="J293" s="23"/>
      <c r="K293" s="23"/>
    </row>
    <row r="294" spans="1:11" x14ac:dyDescent="0.25">
      <c r="A294" s="12" t="s">
        <v>75</v>
      </c>
      <c r="B294" s="12">
        <v>5</v>
      </c>
      <c r="C294" s="12">
        <v>3</v>
      </c>
      <c r="D294" s="12">
        <v>2.2000000000000002</v>
      </c>
      <c r="E294" s="2">
        <v>1269378</v>
      </c>
      <c r="F294" s="16">
        <f>58874+25347+4531+2834</f>
        <v>91586</v>
      </c>
      <c r="G294" s="1">
        <f t="shared" si="106"/>
        <v>7.215029723218773E-2</v>
      </c>
      <c r="H294" s="23"/>
      <c r="I294" s="22"/>
      <c r="J294" s="23"/>
      <c r="K294" s="23"/>
    </row>
    <row r="295" spans="1:11" x14ac:dyDescent="0.25">
      <c r="A295" s="12" t="s">
        <v>75</v>
      </c>
      <c r="B295" s="12">
        <v>5</v>
      </c>
      <c r="C295" s="12">
        <v>3</v>
      </c>
      <c r="D295" s="12">
        <v>2.2999999999999998</v>
      </c>
      <c r="E295" s="2">
        <v>1539166</v>
      </c>
      <c r="F295" s="16">
        <f>12858+18298</f>
        <v>31156</v>
      </c>
      <c r="G295" s="1">
        <f t="shared" si="106"/>
        <v>2.0242131128156416E-2</v>
      </c>
      <c r="H295" s="23"/>
      <c r="I295" s="22"/>
      <c r="J295" s="23"/>
      <c r="K295" s="23"/>
    </row>
    <row r="296" spans="1:11" x14ac:dyDescent="0.25">
      <c r="A296" s="12" t="s">
        <v>75</v>
      </c>
      <c r="B296" s="12">
        <v>5</v>
      </c>
      <c r="C296" s="12">
        <v>3</v>
      </c>
      <c r="D296" s="12">
        <v>3.1</v>
      </c>
      <c r="E296" s="2">
        <v>1518984</v>
      </c>
      <c r="F296" s="16">
        <v>71681</v>
      </c>
      <c r="G296" s="1">
        <f t="shared" si="106"/>
        <v>4.719009548487673E-2</v>
      </c>
      <c r="H296" s="23">
        <f t="shared" ref="H296" si="123">(SUM(F296:F298))/SUM(E296:E298)</f>
        <v>4.6628486554709601E-2</v>
      </c>
      <c r="I296" s="22" t="s">
        <v>87</v>
      </c>
      <c r="J296" s="23"/>
      <c r="K296" s="23"/>
    </row>
    <row r="297" spans="1:11" x14ac:dyDescent="0.25">
      <c r="A297" s="12" t="s">
        <v>75</v>
      </c>
      <c r="B297" s="12">
        <v>5</v>
      </c>
      <c r="C297" s="12">
        <v>3</v>
      </c>
      <c r="D297" s="12">
        <v>3.2</v>
      </c>
      <c r="E297" s="2">
        <v>1097315</v>
      </c>
      <c r="F297" s="16">
        <f>21584+28442</f>
        <v>50026</v>
      </c>
      <c r="G297" s="1">
        <f t="shared" si="106"/>
        <v>4.558946154932722E-2</v>
      </c>
      <c r="H297" s="23"/>
      <c r="I297" s="22"/>
      <c r="J297" s="23"/>
      <c r="K297" s="23"/>
    </row>
    <row r="298" spans="1:11" x14ac:dyDescent="0.25">
      <c r="A298" s="12" t="s">
        <v>75</v>
      </c>
      <c r="B298" s="12">
        <v>5</v>
      </c>
      <c r="C298" s="12">
        <v>3</v>
      </c>
      <c r="D298" s="12">
        <v>3.3</v>
      </c>
      <c r="E298" s="2">
        <v>1156695</v>
      </c>
      <c r="F298" s="16">
        <f>35819+18403</f>
        <v>54222</v>
      </c>
      <c r="G298" s="1">
        <f t="shared" si="106"/>
        <v>4.6876661522700452E-2</v>
      </c>
      <c r="H298" s="23"/>
      <c r="I298" s="22"/>
      <c r="J298" s="23"/>
      <c r="K298" s="23"/>
    </row>
    <row r="299" spans="1:11" x14ac:dyDescent="0.25">
      <c r="A299" s="12" t="s">
        <v>15</v>
      </c>
      <c r="B299" s="12">
        <v>10</v>
      </c>
      <c r="C299" s="12">
        <v>3</v>
      </c>
      <c r="D299" s="12">
        <v>1.1000000000000001</v>
      </c>
      <c r="E299" s="2">
        <v>2028323</v>
      </c>
      <c r="F299" s="16">
        <v>1915</v>
      </c>
      <c r="G299" s="1">
        <f t="shared" si="106"/>
        <v>9.4412970715216466E-4</v>
      </c>
      <c r="H299" s="23">
        <f t="shared" ref="H299" si="124">(SUM(F299:F301))/SUM(E299:E301)</f>
        <v>2.8825539409037112E-3</v>
      </c>
      <c r="I299" s="22" t="s">
        <v>87</v>
      </c>
      <c r="J299" s="23">
        <f t="shared" ref="J299" si="125">AVERAGE(G300:G307)</f>
        <v>6.5343152964946341E-3</v>
      </c>
      <c r="K299" s="23">
        <f>AVERAGE(G299:G325)</f>
        <v>2.3842411019946181E-2</v>
      </c>
    </row>
    <row r="300" spans="1:11" x14ac:dyDescent="0.25">
      <c r="A300" s="12" t="s">
        <v>15</v>
      </c>
      <c r="B300" s="12">
        <v>10</v>
      </c>
      <c r="C300" s="12">
        <v>3</v>
      </c>
      <c r="D300" s="12">
        <v>1.2</v>
      </c>
      <c r="E300" s="2">
        <v>2299607</v>
      </c>
      <c r="F300" s="16">
        <v>1993</v>
      </c>
      <c r="G300" s="1">
        <f t="shared" si="106"/>
        <v>8.666698266268975E-4</v>
      </c>
      <c r="H300" s="23"/>
      <c r="I300" s="22"/>
      <c r="J300" s="23"/>
      <c r="K300" s="23"/>
    </row>
    <row r="301" spans="1:11" x14ac:dyDescent="0.25">
      <c r="A301" s="12" t="s">
        <v>15</v>
      </c>
      <c r="B301" s="12">
        <v>10</v>
      </c>
      <c r="C301" s="12">
        <v>3</v>
      </c>
      <c r="D301" s="12">
        <v>1.3</v>
      </c>
      <c r="E301" s="2">
        <v>2028239</v>
      </c>
      <c r="F301" s="16">
        <v>14414</v>
      </c>
      <c r="G301" s="1">
        <f t="shared" si="106"/>
        <v>7.1066575487405579E-3</v>
      </c>
      <c r="H301" s="23"/>
      <c r="I301" s="22"/>
      <c r="J301" s="23"/>
      <c r="K301" s="23"/>
    </row>
    <row r="302" spans="1:11" x14ac:dyDescent="0.25">
      <c r="A302" s="12" t="s">
        <v>15</v>
      </c>
      <c r="B302" s="12">
        <v>10</v>
      </c>
      <c r="C302" s="12">
        <v>3</v>
      </c>
      <c r="D302" s="12">
        <v>2.1</v>
      </c>
      <c r="E302" s="2">
        <v>885319</v>
      </c>
      <c r="F302" s="16">
        <v>8223</v>
      </c>
      <c r="G302" s="1">
        <f t="shared" si="106"/>
        <v>9.2881774817890495E-3</v>
      </c>
      <c r="H302" s="23">
        <f t="shared" ref="H302" si="126">(SUM(F302:F304))/SUM(E302:E304)</f>
        <v>1.217354614495483E-2</v>
      </c>
      <c r="I302" s="22" t="s">
        <v>87</v>
      </c>
      <c r="J302" s="23"/>
      <c r="K302" s="23"/>
    </row>
    <row r="303" spans="1:11" x14ac:dyDescent="0.25">
      <c r="A303" s="12" t="s">
        <v>15</v>
      </c>
      <c r="B303" s="12">
        <v>10</v>
      </c>
      <c r="C303" s="12">
        <v>3</v>
      </c>
      <c r="D303" s="12">
        <v>2.2000000000000002</v>
      </c>
      <c r="E303" s="2">
        <v>1182619</v>
      </c>
      <c r="F303" s="16">
        <v>20092</v>
      </c>
      <c r="G303" s="1">
        <f t="shared" si="106"/>
        <v>1.6989410790795682E-2</v>
      </c>
      <c r="H303" s="23"/>
      <c r="I303" s="22"/>
      <c r="J303" s="23"/>
      <c r="K303" s="23"/>
    </row>
    <row r="304" spans="1:11" x14ac:dyDescent="0.25">
      <c r="A304" s="12" t="s">
        <v>15</v>
      </c>
      <c r="B304" s="12">
        <v>10</v>
      </c>
      <c r="C304" s="12">
        <v>3</v>
      </c>
      <c r="D304" s="12">
        <v>2.2999999999999998</v>
      </c>
      <c r="E304" s="2">
        <v>1307003</v>
      </c>
      <c r="F304" s="16">
        <v>12770</v>
      </c>
      <c r="G304" s="1">
        <f t="shared" si="106"/>
        <v>9.7704442912525825E-3</v>
      </c>
      <c r="H304" s="23"/>
      <c r="I304" s="22"/>
      <c r="J304" s="23"/>
      <c r="K304" s="23"/>
    </row>
    <row r="305" spans="1:11" x14ac:dyDescent="0.25">
      <c r="A305" s="12" t="s">
        <v>15</v>
      </c>
      <c r="B305" s="12">
        <v>10</v>
      </c>
      <c r="C305" s="12">
        <v>3</v>
      </c>
      <c r="D305" s="12">
        <v>3.1</v>
      </c>
      <c r="E305" s="2">
        <v>485892</v>
      </c>
      <c r="F305" s="16">
        <v>324</v>
      </c>
      <c r="G305" s="1">
        <f t="shared" si="106"/>
        <v>6.6681484774394314E-4</v>
      </c>
      <c r="H305" s="23">
        <f t="shared" ref="H305" si="127">(SUM(F305:F307))/SUM(E305:E307)</f>
        <v>4.2515951664038884E-3</v>
      </c>
      <c r="I305" s="22" t="s">
        <v>86</v>
      </c>
      <c r="J305" s="23"/>
      <c r="K305" s="23"/>
    </row>
    <row r="306" spans="1:11" x14ac:dyDescent="0.25">
      <c r="A306" s="12" t="s">
        <v>15</v>
      </c>
      <c r="B306" s="12">
        <v>10</v>
      </c>
      <c r="C306" s="12">
        <v>3</v>
      </c>
      <c r="D306" s="12">
        <v>3.2</v>
      </c>
      <c r="E306" s="2">
        <v>1101361</v>
      </c>
      <c r="F306" s="16">
        <v>0</v>
      </c>
      <c r="G306" s="1">
        <f t="shared" si="106"/>
        <v>0</v>
      </c>
      <c r="H306" s="23"/>
      <c r="I306" s="22"/>
      <c r="J306" s="23"/>
      <c r="K306" s="23"/>
    </row>
    <row r="307" spans="1:11" x14ac:dyDescent="0.25">
      <c r="A307" s="12" t="s">
        <v>15</v>
      </c>
      <c r="B307" s="12">
        <v>10</v>
      </c>
      <c r="C307" s="12">
        <v>3</v>
      </c>
      <c r="D307" s="12">
        <v>3.3</v>
      </c>
      <c r="E307" s="2">
        <v>1926487</v>
      </c>
      <c r="F307" s="16">
        <v>14615</v>
      </c>
      <c r="G307" s="1">
        <f t="shared" si="106"/>
        <v>7.5863475850083597E-3</v>
      </c>
      <c r="H307" s="23"/>
      <c r="I307" s="22"/>
      <c r="J307" s="23"/>
      <c r="K307" s="23"/>
    </row>
    <row r="308" spans="1:11" x14ac:dyDescent="0.25">
      <c r="A308" s="12" t="s">
        <v>16</v>
      </c>
      <c r="B308" s="12">
        <v>10</v>
      </c>
      <c r="C308" s="12">
        <v>3</v>
      </c>
      <c r="D308" s="12">
        <v>1.1000000000000001</v>
      </c>
      <c r="E308" s="2">
        <v>1590913</v>
      </c>
      <c r="F308" s="16">
        <v>18762</v>
      </c>
      <c r="G308" s="1">
        <f t="shared" si="106"/>
        <v>1.1793228165210794E-2</v>
      </c>
      <c r="H308" s="23">
        <f t="shared" ref="H308" si="128">(SUM(F308:F310))/SUM(E308:E310)</f>
        <v>2.369112222415325E-2</v>
      </c>
      <c r="I308" s="22" t="s">
        <v>87</v>
      </c>
      <c r="J308" s="23">
        <f t="shared" ref="J308" si="129">AVERAGE(G308:G316)</f>
        <v>2.2424700131993592E-2</v>
      </c>
      <c r="K308" s="23"/>
    </row>
    <row r="309" spans="1:11" x14ac:dyDescent="0.25">
      <c r="A309" s="12" t="s">
        <v>16</v>
      </c>
      <c r="B309" s="12">
        <v>10</v>
      </c>
      <c r="C309" s="12">
        <v>3</v>
      </c>
      <c r="D309" s="12">
        <v>1.2</v>
      </c>
      <c r="E309" s="2">
        <v>1765667</v>
      </c>
      <c r="F309" s="16">
        <v>42839</v>
      </c>
      <c r="G309" s="1">
        <f t="shared" si="106"/>
        <v>2.4262219319951043E-2</v>
      </c>
      <c r="H309" s="23"/>
      <c r="I309" s="22"/>
      <c r="J309" s="23"/>
      <c r="K309" s="23"/>
    </row>
    <row r="310" spans="1:11" x14ac:dyDescent="0.25">
      <c r="A310" s="12" t="s">
        <v>16</v>
      </c>
      <c r="B310" s="12">
        <v>10</v>
      </c>
      <c r="C310" s="12">
        <v>3</v>
      </c>
      <c r="D310" s="12">
        <v>1.3</v>
      </c>
      <c r="E310" s="2">
        <v>1143038</v>
      </c>
      <c r="F310" s="16">
        <f>15770+29230</f>
        <v>45000</v>
      </c>
      <c r="G310" s="1">
        <f t="shared" si="106"/>
        <v>3.9368769892164562E-2</v>
      </c>
      <c r="H310" s="23"/>
      <c r="I310" s="22"/>
      <c r="J310" s="23"/>
      <c r="K310" s="23"/>
    </row>
    <row r="311" spans="1:11" x14ac:dyDescent="0.25">
      <c r="A311" s="12" t="s">
        <v>16</v>
      </c>
      <c r="B311" s="12">
        <v>10</v>
      </c>
      <c r="C311" s="12">
        <v>3</v>
      </c>
      <c r="D311" s="12">
        <v>2.1</v>
      </c>
      <c r="E311" s="2">
        <v>1866718</v>
      </c>
      <c r="F311" s="16">
        <v>61496</v>
      </c>
      <c r="G311" s="1">
        <f t="shared" si="106"/>
        <v>3.2943379771341999E-2</v>
      </c>
      <c r="H311" s="23">
        <f t="shared" ref="H311" si="130">(SUM(F311:F313))/SUM(E311:E313)</f>
        <v>3.5861938650315985E-2</v>
      </c>
      <c r="I311" s="22" t="s">
        <v>87</v>
      </c>
      <c r="J311" s="23"/>
      <c r="K311" s="23"/>
    </row>
    <row r="312" spans="1:11" x14ac:dyDescent="0.25">
      <c r="A312" s="12" t="s">
        <v>16</v>
      </c>
      <c r="B312" s="12">
        <v>10</v>
      </c>
      <c r="C312" s="12">
        <v>3</v>
      </c>
      <c r="D312" s="12">
        <v>2.2000000000000002</v>
      </c>
      <c r="E312" s="2">
        <v>1587651</v>
      </c>
      <c r="F312" s="16">
        <v>62546</v>
      </c>
      <c r="G312" s="1">
        <f t="shared" si="106"/>
        <v>3.9395307910869579E-2</v>
      </c>
      <c r="H312" s="23"/>
      <c r="I312" s="22"/>
      <c r="J312" s="23"/>
      <c r="K312" s="23"/>
    </row>
    <row r="313" spans="1:11" x14ac:dyDescent="0.25">
      <c r="A313" s="12" t="s">
        <v>16</v>
      </c>
      <c r="B313" s="12">
        <v>10</v>
      </c>
      <c r="C313" s="12">
        <v>3</v>
      </c>
      <c r="D313" s="12">
        <v>2.2999999999999998</v>
      </c>
      <c r="E313" s="2">
        <v>1859008</v>
      </c>
      <c r="F313" s="16">
        <v>66506</v>
      </c>
      <c r="G313" s="1">
        <f t="shared" si="106"/>
        <v>3.5774993975281444E-2</v>
      </c>
      <c r="H313" s="23"/>
      <c r="I313" s="22"/>
      <c r="J313" s="23"/>
      <c r="K313" s="23"/>
    </row>
    <row r="314" spans="1:11" x14ac:dyDescent="0.25">
      <c r="A314" s="12" t="s">
        <v>16</v>
      </c>
      <c r="B314" s="12">
        <v>10</v>
      </c>
      <c r="C314" s="12">
        <v>3</v>
      </c>
      <c r="D314" s="12">
        <v>3.1</v>
      </c>
      <c r="E314" s="2">
        <v>1654762</v>
      </c>
      <c r="F314" s="16">
        <v>2482</v>
      </c>
      <c r="G314" s="1">
        <f t="shared" si="106"/>
        <v>1.4999135827387865E-3</v>
      </c>
      <c r="H314" s="23">
        <f t="shared" ref="H314" si="131">(SUM(F314:F316))/SUM(E314:E316)</f>
        <v>5.9296702974804159E-3</v>
      </c>
      <c r="I314" s="22" t="s">
        <v>87</v>
      </c>
      <c r="J314" s="23"/>
      <c r="K314" s="23"/>
    </row>
    <row r="315" spans="1:11" x14ac:dyDescent="0.25">
      <c r="A315" s="12" t="s">
        <v>16</v>
      </c>
      <c r="B315" s="12">
        <v>10</v>
      </c>
      <c r="C315" s="12">
        <v>3</v>
      </c>
      <c r="D315" s="12">
        <v>3.2</v>
      </c>
      <c r="E315" s="2">
        <v>1349394</v>
      </c>
      <c r="F315" s="16">
        <f>14131+8183</f>
        <v>22314</v>
      </c>
      <c r="G315" s="1">
        <f t="shared" si="106"/>
        <v>1.6536311855544043E-2</v>
      </c>
      <c r="H315" s="23"/>
      <c r="I315" s="22"/>
      <c r="J315" s="23"/>
      <c r="K315" s="23"/>
    </row>
    <row r="316" spans="1:11" x14ac:dyDescent="0.25">
      <c r="A316" s="12" t="s">
        <v>16</v>
      </c>
      <c r="B316" s="12">
        <v>10</v>
      </c>
      <c r="C316" s="12">
        <v>3</v>
      </c>
      <c r="D316" s="12">
        <v>3.3</v>
      </c>
      <c r="E316" s="2">
        <v>1228963</v>
      </c>
      <c r="F316" s="16">
        <v>305</v>
      </c>
      <c r="G316" s="1">
        <f t="shared" si="106"/>
        <v>2.4817671484007246E-4</v>
      </c>
      <c r="H316" s="23"/>
      <c r="I316" s="22"/>
      <c r="J316" s="23"/>
      <c r="K316" s="23"/>
    </row>
    <row r="317" spans="1:11" x14ac:dyDescent="0.25">
      <c r="A317" s="12" t="s">
        <v>18</v>
      </c>
      <c r="B317" s="12">
        <v>10</v>
      </c>
      <c r="C317" s="12">
        <v>3</v>
      </c>
      <c r="D317" s="12">
        <v>1.1000000000000001</v>
      </c>
      <c r="E317" s="2">
        <v>2625345</v>
      </c>
      <c r="F317" s="16">
        <v>431</v>
      </c>
      <c r="G317" s="1">
        <f t="shared" si="106"/>
        <v>1.6416889970651477E-4</v>
      </c>
      <c r="H317" s="23">
        <f t="shared" ref="H317" si="132">(SUM(F317:F319))/SUM(E317:E319)</f>
        <v>1.9416544324577263E-4</v>
      </c>
      <c r="I317" s="22" t="s">
        <v>86</v>
      </c>
      <c r="J317" s="23">
        <f t="shared" ref="J317" si="133">AVERAGE(G317:G325)</f>
        <v>4.3189349363499489E-2</v>
      </c>
      <c r="K317" s="23"/>
    </row>
    <row r="318" spans="1:11" x14ac:dyDescent="0.25">
      <c r="A318" s="12" t="s">
        <v>18</v>
      </c>
      <c r="B318" s="12">
        <v>10</v>
      </c>
      <c r="C318" s="12">
        <v>3</v>
      </c>
      <c r="D318" s="12">
        <v>1.2</v>
      </c>
      <c r="E318" s="2">
        <v>2390166</v>
      </c>
      <c r="F318" s="16">
        <v>0</v>
      </c>
      <c r="G318" s="1">
        <f t="shared" si="106"/>
        <v>0</v>
      </c>
      <c r="H318" s="23"/>
      <c r="I318" s="22"/>
      <c r="J318" s="23"/>
      <c r="K318" s="23"/>
    </row>
    <row r="319" spans="1:11" x14ac:dyDescent="0.25">
      <c r="A319" s="12" t="s">
        <v>18</v>
      </c>
      <c r="B319" s="12">
        <v>10</v>
      </c>
      <c r="C319" s="12">
        <v>3</v>
      </c>
      <c r="D319" s="12">
        <v>1.3</v>
      </c>
      <c r="E319" s="2">
        <v>2823165</v>
      </c>
      <c r="F319" s="16">
        <v>1091</v>
      </c>
      <c r="G319" s="1">
        <f t="shared" si="106"/>
        <v>3.8644570898264892E-4</v>
      </c>
      <c r="H319" s="23"/>
      <c r="I319" s="22"/>
      <c r="J319" s="23"/>
      <c r="K319" s="23"/>
    </row>
    <row r="320" spans="1:11" x14ac:dyDescent="0.25">
      <c r="A320" s="12" t="s">
        <v>18</v>
      </c>
      <c r="B320" s="12">
        <v>10</v>
      </c>
      <c r="C320" s="12">
        <v>3</v>
      </c>
      <c r="D320" s="12">
        <v>2.1</v>
      </c>
      <c r="E320" s="2">
        <v>2671378</v>
      </c>
      <c r="F320" s="16">
        <v>25292</v>
      </c>
      <c r="G320" s="1">
        <f t="shared" si="106"/>
        <v>9.4677728123837204E-3</v>
      </c>
      <c r="H320" s="23">
        <f t="shared" ref="H320" si="134">(SUM(F320:F322))/SUM(E320:E322)</f>
        <v>8.2199542882534643E-3</v>
      </c>
      <c r="I320" s="22" t="s">
        <v>87</v>
      </c>
      <c r="J320" s="23"/>
      <c r="K320" s="23"/>
    </row>
    <row r="321" spans="1:11" x14ac:dyDescent="0.25">
      <c r="A321" s="12" t="s">
        <v>18</v>
      </c>
      <c r="B321" s="12">
        <v>10</v>
      </c>
      <c r="C321" s="12">
        <v>3</v>
      </c>
      <c r="D321" s="12">
        <v>2.2000000000000002</v>
      </c>
      <c r="E321" s="2">
        <v>2551203</v>
      </c>
      <c r="F321" s="16">
        <v>14879</v>
      </c>
      <c r="G321" s="1">
        <f t="shared" si="106"/>
        <v>5.832150557991661E-3</v>
      </c>
      <c r="H321" s="23"/>
      <c r="I321" s="22"/>
      <c r="J321" s="23"/>
      <c r="K321" s="23"/>
    </row>
    <row r="322" spans="1:11" x14ac:dyDescent="0.25">
      <c r="A322" s="12" t="s">
        <v>18</v>
      </c>
      <c r="B322" s="12">
        <v>10</v>
      </c>
      <c r="C322" s="12">
        <v>3</v>
      </c>
      <c r="D322" s="12">
        <v>2.2999999999999998</v>
      </c>
      <c r="E322" s="2">
        <v>2644981</v>
      </c>
      <c r="F322" s="16">
        <v>24500</v>
      </c>
      <c r="G322" s="1">
        <f t="shared" ref="G322:G385" si="135">F322/E322</f>
        <v>9.2628264626475575E-3</v>
      </c>
      <c r="H322" s="23"/>
      <c r="I322" s="22"/>
      <c r="J322" s="23"/>
      <c r="K322" s="23"/>
    </row>
    <row r="323" spans="1:11" x14ac:dyDescent="0.25">
      <c r="A323" s="12" t="s">
        <v>18</v>
      </c>
      <c r="B323" s="12">
        <v>10</v>
      </c>
      <c r="C323" s="12">
        <v>3</v>
      </c>
      <c r="D323" s="12">
        <v>3.1</v>
      </c>
      <c r="E323" s="2">
        <v>1880227</v>
      </c>
      <c r="F323" s="16">
        <f>21564+1937+264468</f>
        <v>287969</v>
      </c>
      <c r="G323" s="1">
        <f t="shared" si="135"/>
        <v>0.15315650716642193</v>
      </c>
      <c r="H323" s="23">
        <f t="shared" ref="H323" si="136">(SUM(F323:F325))/SUM(E323:E325)</f>
        <v>0.12077439464958842</v>
      </c>
      <c r="I323" s="22" t="s">
        <v>87</v>
      </c>
      <c r="J323" s="23"/>
      <c r="K323" s="23"/>
    </row>
    <row r="324" spans="1:11" x14ac:dyDescent="0.25">
      <c r="A324" s="12" t="s">
        <v>18</v>
      </c>
      <c r="B324" s="12">
        <v>10</v>
      </c>
      <c r="C324" s="12">
        <v>3</v>
      </c>
      <c r="D324" s="12">
        <v>3.2</v>
      </c>
      <c r="E324" s="2">
        <v>2145246</v>
      </c>
      <c r="F324" s="16">
        <v>263034</v>
      </c>
      <c r="G324" s="1">
        <f t="shared" si="135"/>
        <v>0.12261251157209942</v>
      </c>
      <c r="H324" s="23"/>
      <c r="I324" s="22"/>
      <c r="J324" s="23"/>
      <c r="K324" s="23"/>
    </row>
    <row r="325" spans="1:11" x14ac:dyDescent="0.25">
      <c r="A325" s="12" t="s">
        <v>18</v>
      </c>
      <c r="B325" s="12">
        <v>10</v>
      </c>
      <c r="C325" s="12">
        <v>3</v>
      </c>
      <c r="D325" s="12">
        <v>3.3</v>
      </c>
      <c r="E325" s="2">
        <v>1967337</v>
      </c>
      <c r="F325" s="16">
        <f>53459+119316</f>
        <v>172775</v>
      </c>
      <c r="G325" s="1">
        <f t="shared" si="135"/>
        <v>8.7821761091261941E-2</v>
      </c>
      <c r="H325" s="23"/>
      <c r="I325" s="22"/>
      <c r="J325" s="23"/>
      <c r="K325" s="23"/>
    </row>
    <row r="326" spans="1:11" x14ac:dyDescent="0.25">
      <c r="A326" s="12" t="s">
        <v>61</v>
      </c>
      <c r="B326" s="12">
        <v>25</v>
      </c>
      <c r="C326" s="12">
        <v>3</v>
      </c>
      <c r="D326" s="12">
        <v>1.1000000000000001</v>
      </c>
      <c r="E326" s="2">
        <v>1036228</v>
      </c>
      <c r="F326" s="16">
        <v>17766</v>
      </c>
      <c r="G326" s="1">
        <f t="shared" si="135"/>
        <v>1.7144875452120577E-2</v>
      </c>
      <c r="H326" s="23">
        <f t="shared" ref="H326" si="137">(SUM(F326:F328))/SUM(E326:E328)</f>
        <v>3.6687315850272219E-2</v>
      </c>
      <c r="I326" s="22" t="s">
        <v>87</v>
      </c>
      <c r="J326" s="23">
        <f t="shared" ref="J326" si="138">AVERAGE(G326:G334)</f>
        <v>3.3868610143330306E-2</v>
      </c>
      <c r="K326" s="23">
        <f>AVERAGE(G326:G352)</f>
        <v>4.2473912465945403E-2</v>
      </c>
    </row>
    <row r="327" spans="1:11" x14ac:dyDescent="0.25">
      <c r="A327" s="12" t="s">
        <v>61</v>
      </c>
      <c r="B327" s="12">
        <v>25</v>
      </c>
      <c r="C327" s="12">
        <v>3</v>
      </c>
      <c r="D327" s="12">
        <v>1.2</v>
      </c>
      <c r="E327" s="2">
        <v>1036249</v>
      </c>
      <c r="F327" s="16">
        <f>8159+9241+3344+2437+15747+466</f>
        <v>39394</v>
      </c>
      <c r="G327" s="1">
        <f t="shared" si="135"/>
        <v>3.8015959484641239E-2</v>
      </c>
      <c r="H327" s="23"/>
      <c r="I327" s="22"/>
      <c r="J327" s="23"/>
      <c r="K327" s="23"/>
    </row>
    <row r="328" spans="1:11" x14ac:dyDescent="0.25">
      <c r="A328" s="12" t="s">
        <v>61</v>
      </c>
      <c r="B328" s="12">
        <v>25</v>
      </c>
      <c r="C328" s="12">
        <v>3</v>
      </c>
      <c r="D328" s="12">
        <v>1.3</v>
      </c>
      <c r="E328" s="2">
        <v>1040479</v>
      </c>
      <c r="F328" s="16">
        <f>43564+1716+4789+6977</f>
        <v>57046</v>
      </c>
      <c r="G328" s="1">
        <f t="shared" si="135"/>
        <v>5.4826671177409636E-2</v>
      </c>
      <c r="H328" s="23"/>
      <c r="I328" s="22"/>
      <c r="J328" s="23"/>
      <c r="K328" s="23"/>
    </row>
    <row r="329" spans="1:11" x14ac:dyDescent="0.25">
      <c r="A329" s="12" t="s">
        <v>61</v>
      </c>
      <c r="B329" s="12">
        <v>25</v>
      </c>
      <c r="C329" s="12">
        <v>3</v>
      </c>
      <c r="D329" s="12">
        <v>2.1</v>
      </c>
      <c r="E329" s="2">
        <v>1081498</v>
      </c>
      <c r="F329" s="16">
        <f>43205+5820+2562</f>
        <v>51587</v>
      </c>
      <c r="G329" s="1">
        <f t="shared" si="135"/>
        <v>4.7699579657105237E-2</v>
      </c>
      <c r="H329" s="23">
        <f t="shared" ref="H329" si="139">(SUM(F329:F331))/SUM(E329:E331)</f>
        <v>6.0488433353238495E-2</v>
      </c>
      <c r="I329" s="22" t="s">
        <v>87</v>
      </c>
      <c r="J329" s="23"/>
      <c r="K329" s="23"/>
    </row>
    <row r="330" spans="1:11" x14ac:dyDescent="0.25">
      <c r="A330" s="12" t="s">
        <v>61</v>
      </c>
      <c r="B330" s="12">
        <v>25</v>
      </c>
      <c r="C330" s="12">
        <v>3</v>
      </c>
      <c r="D330" s="12">
        <v>2.2000000000000002</v>
      </c>
      <c r="E330" s="2">
        <v>1963119</v>
      </c>
      <c r="F330" s="16">
        <v>159480</v>
      </c>
      <c r="G330" s="1">
        <f t="shared" si="135"/>
        <v>8.1238070641667673E-2</v>
      </c>
      <c r="H330" s="23"/>
      <c r="I330" s="22"/>
      <c r="J330" s="23"/>
      <c r="K330" s="23"/>
    </row>
    <row r="331" spans="1:11" x14ac:dyDescent="0.25">
      <c r="A331" s="12" t="s">
        <v>61</v>
      </c>
      <c r="B331" s="12">
        <v>25</v>
      </c>
      <c r="C331" s="12">
        <v>3</v>
      </c>
      <c r="D331" s="12">
        <v>2.2999999999999998</v>
      </c>
      <c r="E331" s="2">
        <v>2143317</v>
      </c>
      <c r="F331" s="16">
        <v>102743</v>
      </c>
      <c r="G331" s="1">
        <f t="shared" si="135"/>
        <v>4.7936446171984823E-2</v>
      </c>
      <c r="H331" s="23"/>
      <c r="I331" s="22"/>
      <c r="J331" s="23"/>
      <c r="K331" s="23"/>
    </row>
    <row r="332" spans="1:11" x14ac:dyDescent="0.25">
      <c r="A332" s="12" t="s">
        <v>61</v>
      </c>
      <c r="B332" s="12">
        <v>25</v>
      </c>
      <c r="C332" s="12">
        <v>3</v>
      </c>
      <c r="D332" s="12">
        <v>3.1</v>
      </c>
      <c r="E332" s="2">
        <v>1062830</v>
      </c>
      <c r="F332" s="16">
        <v>3528</v>
      </c>
      <c r="G332" s="1">
        <f t="shared" si="135"/>
        <v>3.3194396093448623E-3</v>
      </c>
      <c r="H332" s="23">
        <f t="shared" ref="H332" si="140">(SUM(F332:F334))/SUM(E332:E334)</f>
        <v>7.280635272711989E-3</v>
      </c>
      <c r="I332" s="22" t="s">
        <v>86</v>
      </c>
      <c r="J332" s="23"/>
      <c r="K332" s="23"/>
    </row>
    <row r="333" spans="1:11" x14ac:dyDescent="0.25">
      <c r="A333" s="12" t="s">
        <v>61</v>
      </c>
      <c r="B333" s="12">
        <v>25</v>
      </c>
      <c r="C333" s="12">
        <v>3</v>
      </c>
      <c r="D333" s="12">
        <v>3.2</v>
      </c>
      <c r="E333" s="2">
        <v>1226527</v>
      </c>
      <c r="F333" s="16">
        <f>5445+4952+7555</f>
        <v>17952</v>
      </c>
      <c r="G333" s="1">
        <f t="shared" si="135"/>
        <v>1.4636449095698667E-2</v>
      </c>
      <c r="H333" s="23"/>
      <c r="I333" s="22"/>
      <c r="J333" s="23"/>
      <c r="K333" s="23"/>
    </row>
    <row r="334" spans="1:11" x14ac:dyDescent="0.25">
      <c r="A334" s="12" t="s">
        <v>61</v>
      </c>
      <c r="B334" s="12">
        <v>25</v>
      </c>
      <c r="C334" s="12">
        <v>3</v>
      </c>
      <c r="D334" s="12">
        <v>3.3</v>
      </c>
      <c r="E334" s="2">
        <v>660935</v>
      </c>
      <c r="F334" s="16">
        <v>0</v>
      </c>
      <c r="G334" s="1">
        <f t="shared" si="135"/>
        <v>0</v>
      </c>
      <c r="H334" s="23"/>
      <c r="I334" s="22"/>
      <c r="J334" s="23"/>
      <c r="K334" s="23"/>
    </row>
    <row r="335" spans="1:11" x14ac:dyDescent="0.25">
      <c r="A335" s="12" t="s">
        <v>62</v>
      </c>
      <c r="B335" s="12">
        <v>25</v>
      </c>
      <c r="C335" s="12">
        <v>3</v>
      </c>
      <c r="D335" s="12">
        <v>1.1000000000000001</v>
      </c>
      <c r="E335" s="2">
        <v>1162465</v>
      </c>
      <c r="F335" s="16">
        <f>18018+114</f>
        <v>18132</v>
      </c>
      <c r="G335" s="1">
        <f t="shared" si="135"/>
        <v>1.5597888968700133E-2</v>
      </c>
      <c r="H335" s="23">
        <f t="shared" ref="H335" si="141">(SUM(F335:F337))/SUM(E335:E337)</f>
        <v>1.1441038415210018E-2</v>
      </c>
      <c r="I335" s="22" t="s">
        <v>87</v>
      </c>
      <c r="J335" s="23">
        <f t="shared" ref="J335" si="142">AVERAGE(G335:G343)</f>
        <v>8.7264151288108383E-3</v>
      </c>
      <c r="K335" s="23"/>
    </row>
    <row r="336" spans="1:11" x14ac:dyDescent="0.25">
      <c r="A336" s="12" t="s">
        <v>62</v>
      </c>
      <c r="B336" s="12">
        <v>25</v>
      </c>
      <c r="C336" s="12">
        <v>3</v>
      </c>
      <c r="D336" s="12">
        <v>1.2</v>
      </c>
      <c r="E336" s="2">
        <v>1075761</v>
      </c>
      <c r="F336" s="16">
        <f>784+1900+737+6770</f>
        <v>10191</v>
      </c>
      <c r="G336" s="1">
        <f t="shared" si="135"/>
        <v>9.4732937892338543E-3</v>
      </c>
      <c r="H336" s="23"/>
      <c r="I336" s="22"/>
      <c r="J336" s="23"/>
      <c r="K336" s="23"/>
    </row>
    <row r="337" spans="1:11" x14ac:dyDescent="0.25">
      <c r="A337" s="12" t="s">
        <v>62</v>
      </c>
      <c r="B337" s="12">
        <v>25</v>
      </c>
      <c r="C337" s="12">
        <v>3</v>
      </c>
      <c r="D337" s="12">
        <v>1.3</v>
      </c>
      <c r="E337" s="2">
        <v>875827</v>
      </c>
      <c r="F337" s="16">
        <f>3586+3229+134+356</f>
        <v>7305</v>
      </c>
      <c r="G337" s="1">
        <f t="shared" si="135"/>
        <v>8.3406882866136813E-3</v>
      </c>
      <c r="H337" s="23"/>
      <c r="I337" s="22"/>
      <c r="J337" s="23"/>
      <c r="K337" s="23"/>
    </row>
    <row r="338" spans="1:11" x14ac:dyDescent="0.25">
      <c r="A338" s="12" t="s">
        <v>62</v>
      </c>
      <c r="B338" s="12">
        <v>25</v>
      </c>
      <c r="C338" s="12">
        <v>3</v>
      </c>
      <c r="D338" s="12">
        <v>2.1</v>
      </c>
      <c r="E338" s="2">
        <v>1378868</v>
      </c>
      <c r="F338" s="16">
        <v>17712</v>
      </c>
      <c r="G338" s="1">
        <f t="shared" si="135"/>
        <v>1.2845319493961713E-2</v>
      </c>
      <c r="H338" s="23">
        <f t="shared" ref="H338" si="143">(SUM(F338:F340))/SUM(E338:E340)</f>
        <v>7.7203039012448786E-3</v>
      </c>
      <c r="I338" s="22" t="s">
        <v>87</v>
      </c>
      <c r="J338" s="23"/>
      <c r="K338" s="23"/>
    </row>
    <row r="339" spans="1:11" x14ac:dyDescent="0.25">
      <c r="A339" s="12" t="s">
        <v>62</v>
      </c>
      <c r="B339" s="12">
        <v>25</v>
      </c>
      <c r="C339" s="12">
        <v>3</v>
      </c>
      <c r="D339" s="12">
        <v>2.2000000000000002</v>
      </c>
      <c r="E339" s="2">
        <v>1196787</v>
      </c>
      <c r="F339" s="16">
        <f>1324+8080</f>
        <v>9404</v>
      </c>
      <c r="G339" s="1">
        <f t="shared" si="135"/>
        <v>7.8577056736077507E-3</v>
      </c>
      <c r="H339" s="23"/>
      <c r="I339" s="22"/>
      <c r="J339" s="23"/>
      <c r="K339" s="23"/>
    </row>
    <row r="340" spans="1:11" x14ac:dyDescent="0.25">
      <c r="A340" s="12" t="s">
        <v>62</v>
      </c>
      <c r="B340" s="12">
        <v>25</v>
      </c>
      <c r="C340" s="12">
        <v>3</v>
      </c>
      <c r="D340" s="12">
        <v>2.2999999999999998</v>
      </c>
      <c r="E340" s="2">
        <v>1179249</v>
      </c>
      <c r="F340" s="16">
        <v>1873</v>
      </c>
      <c r="G340" s="1">
        <f t="shared" si="135"/>
        <v>1.5882989936815718E-3</v>
      </c>
      <c r="H340" s="23"/>
      <c r="I340" s="22"/>
      <c r="J340" s="23"/>
      <c r="K340" s="23"/>
    </row>
    <row r="341" spans="1:11" x14ac:dyDescent="0.25">
      <c r="A341" s="12" t="s">
        <v>62</v>
      </c>
      <c r="B341" s="12">
        <v>25</v>
      </c>
      <c r="C341" s="12">
        <v>3</v>
      </c>
      <c r="D341" s="12">
        <v>3.1</v>
      </c>
      <c r="E341" s="2">
        <v>1183339</v>
      </c>
      <c r="F341" s="16">
        <v>7377</v>
      </c>
      <c r="G341" s="1">
        <f t="shared" si="135"/>
        <v>6.2340546538227843E-3</v>
      </c>
      <c r="H341" s="23">
        <f t="shared" ref="H341" si="144">(SUM(F341:F343))/SUM(E341:E343)</f>
        <v>7.4229879985034108E-3</v>
      </c>
      <c r="I341" s="22" t="s">
        <v>87</v>
      </c>
      <c r="J341" s="23"/>
      <c r="K341" s="23"/>
    </row>
    <row r="342" spans="1:11" x14ac:dyDescent="0.25">
      <c r="A342" s="12" t="s">
        <v>62</v>
      </c>
      <c r="B342" s="12">
        <v>25</v>
      </c>
      <c r="C342" s="12">
        <v>3</v>
      </c>
      <c r="D342" s="12">
        <v>3.2</v>
      </c>
      <c r="E342" s="2">
        <v>1167202</v>
      </c>
      <c r="F342" s="16">
        <v>6605</v>
      </c>
      <c r="G342" s="1">
        <f t="shared" si="135"/>
        <v>5.6588319759561757E-3</v>
      </c>
      <c r="H342" s="23"/>
      <c r="I342" s="22"/>
      <c r="J342" s="23"/>
      <c r="K342" s="23"/>
    </row>
    <row r="343" spans="1:11" x14ac:dyDescent="0.25">
      <c r="A343" s="12" t="s">
        <v>62</v>
      </c>
      <c r="B343" s="12">
        <v>25</v>
      </c>
      <c r="C343" s="12">
        <v>3</v>
      </c>
      <c r="D343" s="12">
        <v>3.3</v>
      </c>
      <c r="E343" s="2">
        <v>985043</v>
      </c>
      <c r="F343" s="16">
        <v>10778</v>
      </c>
      <c r="G343" s="1">
        <f t="shared" si="135"/>
        <v>1.0941654323719878E-2</v>
      </c>
      <c r="H343" s="23"/>
      <c r="I343" s="22"/>
      <c r="J343" s="23"/>
      <c r="K343" s="23"/>
    </row>
    <row r="344" spans="1:11" x14ac:dyDescent="0.25">
      <c r="A344" s="12" t="s">
        <v>63</v>
      </c>
      <c r="B344" s="12">
        <v>25</v>
      </c>
      <c r="C344" s="12">
        <v>3</v>
      </c>
      <c r="D344" s="12">
        <v>1.1000000000000001</v>
      </c>
      <c r="E344" s="2">
        <v>1452784</v>
      </c>
      <c r="F344" s="16">
        <f>40302+87587+1012+2297</f>
        <v>131198</v>
      </c>
      <c r="G344" s="1">
        <f t="shared" si="135"/>
        <v>9.0307987973435824E-2</v>
      </c>
      <c r="H344" s="23">
        <f t="shared" ref="H344" si="145">(SUM(F344:F346))/SUM(E344:E346)</f>
        <v>0.10147466226372336</v>
      </c>
      <c r="I344" s="22" t="s">
        <v>87</v>
      </c>
      <c r="J344" s="23">
        <f t="shared" ref="J344" si="146">AVERAGE(G344:G352)</f>
        <v>8.4826712125695078E-2</v>
      </c>
      <c r="K344" s="23"/>
    </row>
    <row r="345" spans="1:11" x14ac:dyDescent="0.25">
      <c r="A345" s="12" t="s">
        <v>63</v>
      </c>
      <c r="B345" s="12">
        <v>25</v>
      </c>
      <c r="C345" s="12">
        <v>3</v>
      </c>
      <c r="D345" s="12">
        <v>1.2</v>
      </c>
      <c r="E345" s="2">
        <v>1559455</v>
      </c>
      <c r="F345" s="16">
        <f>130049+18978+13773+4860+470</f>
        <v>168130</v>
      </c>
      <c r="G345" s="1">
        <f t="shared" si="135"/>
        <v>0.10781330657184722</v>
      </c>
      <c r="H345" s="23"/>
      <c r="I345" s="22"/>
      <c r="J345" s="23"/>
      <c r="K345" s="23"/>
    </row>
    <row r="346" spans="1:11" x14ac:dyDescent="0.25">
      <c r="A346" s="12" t="s">
        <v>63</v>
      </c>
      <c r="B346" s="12">
        <v>25</v>
      </c>
      <c r="C346" s="12">
        <v>3</v>
      </c>
      <c r="D346" s="12">
        <v>1.3</v>
      </c>
      <c r="E346" s="2">
        <v>1312141</v>
      </c>
      <c r="F346" s="16">
        <f>19394+18127+30727+16907+38493+4116+6140+5583</f>
        <v>139487</v>
      </c>
      <c r="G346" s="1">
        <f t="shared" si="135"/>
        <v>0.10630488644131995</v>
      </c>
      <c r="H346" s="23"/>
      <c r="I346" s="22"/>
      <c r="J346" s="23"/>
      <c r="K346" s="23"/>
    </row>
    <row r="347" spans="1:11" x14ac:dyDescent="0.25">
      <c r="A347" s="12" t="s">
        <v>63</v>
      </c>
      <c r="B347" s="12">
        <v>25</v>
      </c>
      <c r="C347" s="12">
        <v>3</v>
      </c>
      <c r="D347" s="12">
        <v>2.1</v>
      </c>
      <c r="E347" s="2">
        <v>717783</v>
      </c>
      <c r="F347" s="16">
        <f>71409+358+415+648+1043+533+573+396+523</f>
        <v>75898</v>
      </c>
      <c r="G347" s="1">
        <f t="shared" si="135"/>
        <v>0.10573947836602428</v>
      </c>
      <c r="H347" s="23">
        <f t="shared" ref="H347" si="147">(SUM(F347:F349))/SUM(E347:E349)</f>
        <v>0.14354894842490529</v>
      </c>
      <c r="I347" s="22" t="s">
        <v>87</v>
      </c>
      <c r="J347" s="23"/>
      <c r="K347" s="23"/>
    </row>
    <row r="348" spans="1:11" x14ac:dyDescent="0.25">
      <c r="A348" s="12" t="s">
        <v>63</v>
      </c>
      <c r="B348" s="12">
        <v>25</v>
      </c>
      <c r="C348" s="12">
        <v>3</v>
      </c>
      <c r="D348" s="12">
        <v>2.2000000000000002</v>
      </c>
      <c r="E348" s="2">
        <v>636652</v>
      </c>
      <c r="F348" s="16">
        <f>76152+15969</f>
        <v>92121</v>
      </c>
      <c r="G348" s="1">
        <f t="shared" si="135"/>
        <v>0.14469600346814271</v>
      </c>
      <c r="H348" s="23"/>
      <c r="I348" s="22"/>
      <c r="J348" s="23"/>
      <c r="K348" s="23"/>
    </row>
    <row r="349" spans="1:11" x14ac:dyDescent="0.25">
      <c r="A349" s="12" t="s">
        <v>63</v>
      </c>
      <c r="B349" s="12">
        <v>25</v>
      </c>
      <c r="C349" s="12">
        <v>3</v>
      </c>
      <c r="D349" s="12">
        <v>2.2999999999999998</v>
      </c>
      <c r="E349" s="2">
        <v>464408</v>
      </c>
      <c r="F349" s="16">
        <f>26861+44574+14443+7196</f>
        <v>93074</v>
      </c>
      <c r="G349" s="1">
        <f t="shared" si="135"/>
        <v>0.20041429088215534</v>
      </c>
      <c r="H349" s="23"/>
      <c r="I349" s="22"/>
      <c r="J349" s="23"/>
      <c r="K349" s="23"/>
    </row>
    <row r="350" spans="1:11" x14ac:dyDescent="0.25">
      <c r="A350" s="12" t="s">
        <v>63</v>
      </c>
      <c r="B350" s="12">
        <v>25</v>
      </c>
      <c r="C350" s="12">
        <v>3</v>
      </c>
      <c r="D350" s="12">
        <v>3.1</v>
      </c>
      <c r="E350" s="2">
        <v>2549187</v>
      </c>
      <c r="F350" s="16">
        <f>2684+10477+1925</f>
        <v>15086</v>
      </c>
      <c r="G350" s="1">
        <f t="shared" si="135"/>
        <v>5.9179652179302657E-3</v>
      </c>
      <c r="H350" s="23">
        <f t="shared" ref="H350" si="148">(SUM(F350:F352))/SUM(E350:E352)</f>
        <v>2.6614209820050197E-3</v>
      </c>
      <c r="I350" s="22" t="s">
        <v>86</v>
      </c>
      <c r="J350" s="23"/>
      <c r="K350" s="23"/>
    </row>
    <row r="351" spans="1:11" x14ac:dyDescent="0.25">
      <c r="A351" s="12" t="s">
        <v>63</v>
      </c>
      <c r="B351" s="12">
        <v>25</v>
      </c>
      <c r="C351" s="12">
        <v>3</v>
      </c>
      <c r="D351" s="12">
        <v>3.2</v>
      </c>
      <c r="E351" s="2">
        <v>2439344</v>
      </c>
      <c r="F351" s="16">
        <f>1681+958+417</f>
        <v>3056</v>
      </c>
      <c r="G351" s="1">
        <f t="shared" si="135"/>
        <v>1.2527958336339606E-3</v>
      </c>
      <c r="H351" s="23"/>
      <c r="I351" s="22"/>
      <c r="J351" s="23"/>
      <c r="K351" s="23"/>
    </row>
    <row r="352" spans="1:11" x14ac:dyDescent="0.25">
      <c r="A352" s="12" t="s">
        <v>63</v>
      </c>
      <c r="B352" s="12">
        <v>25</v>
      </c>
      <c r="C352" s="12">
        <v>3</v>
      </c>
      <c r="D352" s="12">
        <v>3.3</v>
      </c>
      <c r="E352" s="2">
        <v>2917396</v>
      </c>
      <c r="F352" s="16">
        <v>2899</v>
      </c>
      <c r="G352" s="1">
        <f t="shared" si="135"/>
        <v>9.9369437676612984E-4</v>
      </c>
      <c r="H352" s="23"/>
      <c r="I352" s="22"/>
      <c r="J352" s="23"/>
      <c r="K352" s="23"/>
    </row>
    <row r="353" spans="1:11" x14ac:dyDescent="0.25">
      <c r="A353" s="12" t="s">
        <v>47</v>
      </c>
      <c r="B353" s="12">
        <v>35</v>
      </c>
      <c r="C353" s="12">
        <v>3</v>
      </c>
      <c r="D353" s="12">
        <v>1.1000000000000001</v>
      </c>
      <c r="E353" s="2">
        <v>1678381</v>
      </c>
      <c r="F353" s="16">
        <v>2493</v>
      </c>
      <c r="G353" s="1">
        <f t="shared" si="135"/>
        <v>1.4853599987130455E-3</v>
      </c>
      <c r="H353" s="23">
        <f t="shared" ref="H353" si="149">(SUM(F353:F355))/SUM(E353:E355)</f>
        <v>4.5923299541457364E-3</v>
      </c>
      <c r="I353" s="22" t="s">
        <v>87</v>
      </c>
      <c r="J353" s="23">
        <f t="shared" ref="J353" si="150">AVERAGE(G353:G361)</f>
        <v>5.1079738808547451E-3</v>
      </c>
      <c r="K353" s="23">
        <f>AVERAGE(G353:G379)</f>
        <v>1.8155802215180358E-2</v>
      </c>
    </row>
    <row r="354" spans="1:11" x14ac:dyDescent="0.25">
      <c r="A354" s="12" t="s">
        <v>47</v>
      </c>
      <c r="B354" s="12">
        <v>35</v>
      </c>
      <c r="C354" s="12">
        <v>3</v>
      </c>
      <c r="D354" s="12">
        <v>1.2</v>
      </c>
      <c r="E354" s="2">
        <v>1706685</v>
      </c>
      <c r="F354" s="16">
        <f>12849+1069</f>
        <v>13918</v>
      </c>
      <c r="G354" s="1">
        <f t="shared" si="135"/>
        <v>8.1549905225627457E-3</v>
      </c>
      <c r="H354" s="23"/>
      <c r="I354" s="22"/>
      <c r="J354" s="23"/>
      <c r="K354" s="23"/>
    </row>
    <row r="355" spans="1:11" x14ac:dyDescent="0.25">
      <c r="A355" s="12" t="s">
        <v>47</v>
      </c>
      <c r="B355" s="12">
        <v>35</v>
      </c>
      <c r="C355" s="12">
        <v>3</v>
      </c>
      <c r="D355" s="12">
        <v>1.3</v>
      </c>
      <c r="E355" s="2">
        <v>1539885</v>
      </c>
      <c r="F355" s="16">
        <v>6206</v>
      </c>
      <c r="G355" s="1">
        <f t="shared" si="135"/>
        <v>4.0301710842043396E-3</v>
      </c>
      <c r="H355" s="23"/>
      <c r="I355" s="22"/>
      <c r="J355" s="23"/>
      <c r="K355" s="23"/>
    </row>
    <row r="356" spans="1:11" x14ac:dyDescent="0.25">
      <c r="A356" s="12" t="s">
        <v>47</v>
      </c>
      <c r="B356" s="12">
        <v>35</v>
      </c>
      <c r="C356" s="12">
        <v>3</v>
      </c>
      <c r="D356" s="12">
        <v>2.1</v>
      </c>
      <c r="E356" s="2">
        <v>1838031</v>
      </c>
      <c r="F356" s="16">
        <f>931+2321+8348+2574</f>
        <v>14174</v>
      </c>
      <c r="G356" s="1">
        <f t="shared" si="135"/>
        <v>7.7115130267117367E-3</v>
      </c>
      <c r="H356" s="23">
        <f t="shared" ref="H356" si="151">(SUM(F356:F358))/SUM(E356:E358)</f>
        <v>1.0327159593220819E-2</v>
      </c>
      <c r="I356" s="22" t="s">
        <v>87</v>
      </c>
      <c r="J356" s="23"/>
      <c r="K356" s="23"/>
    </row>
    <row r="357" spans="1:11" x14ac:dyDescent="0.25">
      <c r="A357" s="12" t="s">
        <v>47</v>
      </c>
      <c r="B357" s="12">
        <v>35</v>
      </c>
      <c r="C357" s="12">
        <v>3</v>
      </c>
      <c r="D357" s="12">
        <v>2.2000000000000002</v>
      </c>
      <c r="E357" s="2">
        <v>1699823</v>
      </c>
      <c r="F357" s="16">
        <v>2196</v>
      </c>
      <c r="G357" s="1">
        <f t="shared" si="135"/>
        <v>1.2918992153888964E-3</v>
      </c>
      <c r="H357" s="23"/>
      <c r="I357" s="22"/>
      <c r="J357" s="23"/>
      <c r="K357" s="23"/>
    </row>
    <row r="358" spans="1:11" x14ac:dyDescent="0.25">
      <c r="A358" s="12" t="s">
        <v>47</v>
      </c>
      <c r="B358" s="12">
        <v>35</v>
      </c>
      <c r="C358" s="12">
        <v>3</v>
      </c>
      <c r="D358" s="12">
        <v>2.2999999999999998</v>
      </c>
      <c r="E358" s="2">
        <v>1554737</v>
      </c>
      <c r="F358" s="16">
        <f>4257+18248+3140+5483+336+1390+1252+515+640+531+430</f>
        <v>36222</v>
      </c>
      <c r="G358" s="1">
        <f t="shared" si="135"/>
        <v>2.3297831080111943E-2</v>
      </c>
      <c r="H358" s="23"/>
      <c r="I358" s="22"/>
      <c r="J358" s="23"/>
      <c r="K358" s="23"/>
    </row>
    <row r="359" spans="1:11" x14ac:dyDescent="0.25">
      <c r="A359" s="12" t="s">
        <v>47</v>
      </c>
      <c r="B359" s="12">
        <v>35</v>
      </c>
      <c r="C359" s="12">
        <v>3</v>
      </c>
      <c r="D359" s="12">
        <v>3.1</v>
      </c>
      <c r="E359" s="2">
        <v>953937</v>
      </c>
      <c r="F359" s="16">
        <v>0</v>
      </c>
      <c r="G359" s="1">
        <f t="shared" si="135"/>
        <v>0</v>
      </c>
      <c r="H359" s="23">
        <f t="shared" ref="H359" si="152">(SUM(F359:F361))/SUM(E359:E361)</f>
        <v>0</v>
      </c>
      <c r="I359" s="22" t="s">
        <v>86</v>
      </c>
      <c r="J359" s="23"/>
      <c r="K359" s="23"/>
    </row>
    <row r="360" spans="1:11" x14ac:dyDescent="0.25">
      <c r="A360" s="12" t="s">
        <v>47</v>
      </c>
      <c r="B360" s="12">
        <v>35</v>
      </c>
      <c r="C360" s="12">
        <v>3</v>
      </c>
      <c r="D360" s="12">
        <v>3.2</v>
      </c>
      <c r="E360" s="2">
        <v>1108454</v>
      </c>
      <c r="F360" s="16">
        <v>0</v>
      </c>
      <c r="G360" s="1">
        <f t="shared" si="135"/>
        <v>0</v>
      </c>
      <c r="H360" s="23"/>
      <c r="I360" s="22"/>
      <c r="J360" s="23"/>
      <c r="K360" s="23"/>
    </row>
    <row r="361" spans="1:11" x14ac:dyDescent="0.25">
      <c r="A361" s="12" t="s">
        <v>47</v>
      </c>
      <c r="B361" s="12">
        <v>35</v>
      </c>
      <c r="C361" s="12">
        <v>3</v>
      </c>
      <c r="D361" s="12">
        <v>3.3</v>
      </c>
      <c r="E361" s="2">
        <v>1091686</v>
      </c>
      <c r="F361" s="16">
        <v>0</v>
      </c>
      <c r="G361" s="1">
        <f t="shared" si="135"/>
        <v>0</v>
      </c>
      <c r="H361" s="23"/>
      <c r="I361" s="22"/>
      <c r="J361" s="23"/>
      <c r="K361" s="23"/>
    </row>
    <row r="362" spans="1:11" x14ac:dyDescent="0.25">
      <c r="A362" s="12" t="s">
        <v>48</v>
      </c>
      <c r="B362" s="12">
        <v>35</v>
      </c>
      <c r="C362" s="12">
        <v>3</v>
      </c>
      <c r="D362" s="12">
        <v>1.1000000000000001</v>
      </c>
      <c r="E362" s="2">
        <v>1673734</v>
      </c>
      <c r="F362" s="16">
        <v>346</v>
      </c>
      <c r="G362" s="1">
        <f t="shared" si="135"/>
        <v>2.0672341005201545E-4</v>
      </c>
      <c r="H362" s="23">
        <f t="shared" ref="H362" si="153">(SUM(F362:F364))/SUM(E362:E364)</f>
        <v>7.3378491463115079E-4</v>
      </c>
      <c r="I362" s="22" t="s">
        <v>86</v>
      </c>
      <c r="J362" s="23">
        <f t="shared" ref="J362" si="154">AVERAGE(G362:G370)</f>
        <v>3.7322208007954848E-2</v>
      </c>
      <c r="K362" s="23"/>
    </row>
    <row r="363" spans="1:11" x14ac:dyDescent="0.25">
      <c r="A363" s="12" t="s">
        <v>48</v>
      </c>
      <c r="B363" s="12">
        <v>35</v>
      </c>
      <c r="C363" s="12">
        <v>3</v>
      </c>
      <c r="D363" s="12">
        <v>1.2</v>
      </c>
      <c r="E363" s="2">
        <v>1577707</v>
      </c>
      <c r="F363" s="16">
        <v>1310</v>
      </c>
      <c r="G363" s="1">
        <f t="shared" si="135"/>
        <v>8.3031893754670545E-4</v>
      </c>
      <c r="H363" s="23"/>
      <c r="I363" s="22"/>
      <c r="J363" s="23"/>
      <c r="K363" s="23"/>
    </row>
    <row r="364" spans="1:11" x14ac:dyDescent="0.25">
      <c r="A364" s="12" t="s">
        <v>48</v>
      </c>
      <c r="B364" s="12">
        <v>35</v>
      </c>
      <c r="C364" s="12">
        <v>3</v>
      </c>
      <c r="D364" s="12">
        <v>1.3</v>
      </c>
      <c r="E364" s="2">
        <v>1552419</v>
      </c>
      <c r="F364" s="16">
        <v>1869</v>
      </c>
      <c r="G364" s="1">
        <f t="shared" si="135"/>
        <v>1.2039275479107123E-3</v>
      </c>
      <c r="H364" s="23"/>
      <c r="I364" s="22"/>
      <c r="J364" s="23"/>
      <c r="K364" s="23"/>
    </row>
    <row r="365" spans="1:11" x14ac:dyDescent="0.25">
      <c r="A365" s="12" t="s">
        <v>48</v>
      </c>
      <c r="B365" s="12">
        <v>35</v>
      </c>
      <c r="C365" s="12">
        <v>3</v>
      </c>
      <c r="D365" s="12">
        <v>2.1</v>
      </c>
      <c r="E365" s="2">
        <v>995942</v>
      </c>
      <c r="F365" s="16">
        <f>10632+5467+1021+14816+9957+3039</f>
        <v>44932</v>
      </c>
      <c r="G365" s="1">
        <f t="shared" si="135"/>
        <v>4.5115076982394559E-2</v>
      </c>
      <c r="H365" s="23">
        <f t="shared" ref="H365" si="155">(SUM(F365:F367))/SUM(E365:E367)</f>
        <v>4.4736675680181831E-2</v>
      </c>
      <c r="I365" s="22" t="s">
        <v>87</v>
      </c>
      <c r="J365" s="23"/>
      <c r="K365" s="23"/>
    </row>
    <row r="366" spans="1:11" x14ac:dyDescent="0.25">
      <c r="A366" s="12" t="s">
        <v>48</v>
      </c>
      <c r="B366" s="12">
        <v>35</v>
      </c>
      <c r="C366" s="12">
        <v>3</v>
      </c>
      <c r="D366" s="12">
        <v>2.2000000000000002</v>
      </c>
      <c r="E366" s="2">
        <v>1100415</v>
      </c>
      <c r="F366" s="16">
        <v>44561</v>
      </c>
      <c r="G366" s="1">
        <f t="shared" si="135"/>
        <v>4.0494722445622786E-2</v>
      </c>
      <c r="H366" s="23"/>
      <c r="I366" s="22"/>
      <c r="J366" s="23"/>
      <c r="K366" s="23"/>
    </row>
    <row r="367" spans="1:11" x14ac:dyDescent="0.25">
      <c r="A367" s="12" t="s">
        <v>48</v>
      </c>
      <c r="B367" s="12">
        <v>35</v>
      </c>
      <c r="C367" s="12">
        <v>3</v>
      </c>
      <c r="D367" s="12">
        <v>2.2999999999999998</v>
      </c>
      <c r="E367" s="2">
        <v>1034497</v>
      </c>
      <c r="F367" s="16">
        <f>48296+1622+653</f>
        <v>50571</v>
      </c>
      <c r="G367" s="1">
        <f t="shared" si="135"/>
        <v>4.8884627021634666E-2</v>
      </c>
      <c r="H367" s="23"/>
      <c r="I367" s="22"/>
      <c r="J367" s="23"/>
      <c r="K367" s="23"/>
    </row>
    <row r="368" spans="1:11" x14ac:dyDescent="0.25">
      <c r="A368" s="12" t="s">
        <v>48</v>
      </c>
      <c r="B368" s="12">
        <v>35</v>
      </c>
      <c r="C368" s="12">
        <v>3</v>
      </c>
      <c r="D368" s="12">
        <v>3.1</v>
      </c>
      <c r="E368" s="2">
        <v>1676066</v>
      </c>
      <c r="F368" s="16">
        <f>19702+4707+672+1739+3523+2568+1074+8170+3498+1364+3296+2214+7908+2817+18304+2647+5915</f>
        <v>90118</v>
      </c>
      <c r="G368" s="1">
        <f t="shared" si="135"/>
        <v>5.3767572398700288E-2</v>
      </c>
      <c r="H368" s="23">
        <f t="shared" ref="H368" si="156">(SUM(F368:F370))/SUM(E368:E370)</f>
        <v>6.2346292745998483E-2</v>
      </c>
      <c r="I368" s="22" t="s">
        <v>87</v>
      </c>
      <c r="J368" s="23"/>
      <c r="K368" s="23"/>
    </row>
    <row r="369" spans="1:11" x14ac:dyDescent="0.25">
      <c r="A369" s="12" t="s">
        <v>48</v>
      </c>
      <c r="B369" s="12">
        <v>35</v>
      </c>
      <c r="C369" s="12">
        <v>3</v>
      </c>
      <c r="D369" s="12">
        <v>3.2</v>
      </c>
      <c r="E369" s="2">
        <v>1186943</v>
      </c>
      <c r="F369" s="16">
        <f>69365+49685+432+3180+1467+2215</f>
        <v>126344</v>
      </c>
      <c r="G369" s="1">
        <f t="shared" si="135"/>
        <v>0.1064448756174475</v>
      </c>
      <c r="H369" s="23"/>
      <c r="I369" s="22"/>
      <c r="J369" s="23"/>
      <c r="K369" s="23"/>
    </row>
    <row r="370" spans="1:11" x14ac:dyDescent="0.25">
      <c r="A370" s="12" t="s">
        <v>48</v>
      </c>
      <c r="B370" s="12">
        <v>35</v>
      </c>
      <c r="C370" s="12">
        <v>3</v>
      </c>
      <c r="D370" s="12">
        <v>3.3</v>
      </c>
      <c r="E370" s="2">
        <v>1622791</v>
      </c>
      <c r="F370" s="16">
        <f>11281+5549+10700+16146+6536+10804+2195</f>
        <v>63211</v>
      </c>
      <c r="G370" s="1">
        <f t="shared" si="135"/>
        <v>3.8952027710284318E-2</v>
      </c>
      <c r="H370" s="23"/>
      <c r="I370" s="22"/>
      <c r="J370" s="23"/>
      <c r="K370" s="23"/>
    </row>
    <row r="371" spans="1:11" x14ac:dyDescent="0.25">
      <c r="A371" s="12" t="s">
        <v>46</v>
      </c>
      <c r="B371" s="12">
        <v>35</v>
      </c>
      <c r="C371" s="12">
        <v>3</v>
      </c>
      <c r="D371" s="12">
        <v>1.1000000000000001</v>
      </c>
      <c r="E371" s="2">
        <v>1225803</v>
      </c>
      <c r="F371" s="16">
        <v>16121</v>
      </c>
      <c r="G371" s="1">
        <f t="shared" si="135"/>
        <v>1.3151379136778095E-2</v>
      </c>
      <c r="H371" s="23">
        <f t="shared" ref="H371" si="157">(SUM(F371:F373))/SUM(E371:E373)</f>
        <v>1.3389237270767332E-2</v>
      </c>
      <c r="I371" s="22" t="s">
        <v>87</v>
      </c>
      <c r="J371" s="23">
        <f t="shared" ref="J371" si="158">AVERAGE(G371:G379)</f>
        <v>1.2037224756731496E-2</v>
      </c>
      <c r="K371" s="23"/>
    </row>
    <row r="372" spans="1:11" x14ac:dyDescent="0.25">
      <c r="A372" s="12" t="s">
        <v>46</v>
      </c>
      <c r="B372" s="12">
        <v>35</v>
      </c>
      <c r="C372" s="12">
        <v>3</v>
      </c>
      <c r="D372" s="12">
        <v>1.2</v>
      </c>
      <c r="E372" s="2">
        <v>1611641</v>
      </c>
      <c r="F372" s="16">
        <v>20933</v>
      </c>
      <c r="G372" s="1">
        <f t="shared" si="135"/>
        <v>1.2988624637869104E-2</v>
      </c>
      <c r="H372" s="23"/>
      <c r="I372" s="22"/>
      <c r="J372" s="23"/>
      <c r="K372" s="23"/>
    </row>
    <row r="373" spans="1:11" x14ac:dyDescent="0.25">
      <c r="A373" s="12" t="s">
        <v>46</v>
      </c>
      <c r="B373" s="12">
        <v>35</v>
      </c>
      <c r="C373" s="12">
        <v>3</v>
      </c>
      <c r="D373" s="12">
        <v>1.3</v>
      </c>
      <c r="E373" s="2">
        <v>1529571</v>
      </c>
      <c r="F373" s="16">
        <v>21417</v>
      </c>
      <c r="G373" s="1">
        <f t="shared" si="135"/>
        <v>1.4001965256924981E-2</v>
      </c>
      <c r="H373" s="23"/>
      <c r="I373" s="22"/>
      <c r="J373" s="23"/>
      <c r="K373" s="23"/>
    </row>
    <row r="374" spans="1:11" x14ac:dyDescent="0.25">
      <c r="A374" s="12" t="s">
        <v>46</v>
      </c>
      <c r="B374" s="12">
        <v>35</v>
      </c>
      <c r="C374" s="12">
        <v>3</v>
      </c>
      <c r="D374" s="12">
        <v>2.1</v>
      </c>
      <c r="E374" s="2">
        <v>1763245</v>
      </c>
      <c r="F374" s="16">
        <v>33050</v>
      </c>
      <c r="G374" s="1">
        <f t="shared" si="135"/>
        <v>1.8743850117255403E-2</v>
      </c>
      <c r="H374" s="23">
        <f t="shared" ref="H374" si="159">(SUM(F374:F376))/SUM(E374:E376)</f>
        <v>1.3748142477555073E-2</v>
      </c>
      <c r="I374" s="22" t="s">
        <v>87</v>
      </c>
      <c r="J374" s="23"/>
      <c r="K374" s="23"/>
    </row>
    <row r="375" spans="1:11" x14ac:dyDescent="0.25">
      <c r="A375" s="12" t="s">
        <v>46</v>
      </c>
      <c r="B375" s="12">
        <v>35</v>
      </c>
      <c r="C375" s="12">
        <v>3</v>
      </c>
      <c r="D375" s="12">
        <v>2.2000000000000002</v>
      </c>
      <c r="E375" s="2">
        <v>1777812</v>
      </c>
      <c r="F375" s="16">
        <v>2628</v>
      </c>
      <c r="G375" s="1">
        <f t="shared" si="135"/>
        <v>1.4782215442352734E-3</v>
      </c>
      <c r="H375" s="23"/>
      <c r="I375" s="22"/>
      <c r="J375" s="23"/>
      <c r="K375" s="23"/>
    </row>
    <row r="376" spans="1:11" x14ac:dyDescent="0.25">
      <c r="A376" s="12" t="s">
        <v>46</v>
      </c>
      <c r="B376" s="12">
        <v>35</v>
      </c>
      <c r="C376" s="12">
        <v>3</v>
      </c>
      <c r="D376" s="12">
        <v>2.2999999999999998</v>
      </c>
      <c r="E376" s="2">
        <v>1809484</v>
      </c>
      <c r="F376" s="16">
        <v>37882</v>
      </c>
      <c r="G376" s="1">
        <f t="shared" si="135"/>
        <v>2.0935250049185294E-2</v>
      </c>
      <c r="H376" s="23"/>
      <c r="I376" s="22"/>
      <c r="J376" s="23"/>
      <c r="K376" s="23"/>
    </row>
    <row r="377" spans="1:11" x14ac:dyDescent="0.25">
      <c r="A377" s="12" t="s">
        <v>46</v>
      </c>
      <c r="B377" s="12">
        <v>35</v>
      </c>
      <c r="C377" s="12">
        <v>3</v>
      </c>
      <c r="D377" s="12">
        <v>3.1</v>
      </c>
      <c r="E377" s="2">
        <v>980312</v>
      </c>
      <c r="F377" s="16">
        <v>14627</v>
      </c>
      <c r="G377" s="1">
        <f t="shared" si="135"/>
        <v>1.4920759921331168E-2</v>
      </c>
      <c r="H377" s="23">
        <f t="shared" ref="H377" si="160">(SUM(F377:F379))/SUM(E377:E379)</f>
        <v>9.5826334304938247E-3</v>
      </c>
      <c r="I377" s="22" t="s">
        <v>87</v>
      </c>
      <c r="J377" s="23"/>
      <c r="K377" s="23"/>
    </row>
    <row r="378" spans="1:11" x14ac:dyDescent="0.25">
      <c r="A378" s="12" t="s">
        <v>46</v>
      </c>
      <c r="B378" s="12">
        <v>35</v>
      </c>
      <c r="C378" s="12">
        <v>3</v>
      </c>
      <c r="D378" s="12">
        <v>3.2</v>
      </c>
      <c r="E378" s="2">
        <v>769387</v>
      </c>
      <c r="F378" s="16">
        <v>2880</v>
      </c>
      <c r="G378" s="1">
        <f t="shared" si="135"/>
        <v>3.7432397480071798E-3</v>
      </c>
      <c r="H378" s="23"/>
      <c r="I378" s="22"/>
      <c r="J378" s="23"/>
      <c r="K378" s="23"/>
    </row>
    <row r="379" spans="1:11" x14ac:dyDescent="0.25">
      <c r="A379" s="12" t="s">
        <v>46</v>
      </c>
      <c r="B379" s="12">
        <v>35</v>
      </c>
      <c r="C379" s="12">
        <v>3</v>
      </c>
      <c r="D379" s="12">
        <v>3.3</v>
      </c>
      <c r="E379" s="2">
        <v>611343</v>
      </c>
      <c r="F379" s="16">
        <v>5118</v>
      </c>
      <c r="G379" s="1">
        <f t="shared" si="135"/>
        <v>8.371732398996962E-3</v>
      </c>
      <c r="H379" s="23"/>
      <c r="I379" s="22"/>
      <c r="J379" s="23"/>
      <c r="K379" s="23"/>
    </row>
    <row r="380" spans="1:11" x14ac:dyDescent="0.25">
      <c r="A380" s="12" t="s">
        <v>33</v>
      </c>
      <c r="B380" s="12">
        <v>45</v>
      </c>
      <c r="C380" s="12">
        <v>3</v>
      </c>
      <c r="D380" s="12">
        <v>1.1000000000000001</v>
      </c>
      <c r="E380" s="2">
        <v>2252861</v>
      </c>
      <c r="F380" s="16">
        <v>0</v>
      </c>
      <c r="G380" s="1">
        <f t="shared" si="135"/>
        <v>0</v>
      </c>
      <c r="H380" s="23">
        <f t="shared" ref="H380" si="161">(SUM(F380:F382))/SUM(E380:E382)</f>
        <v>0</v>
      </c>
      <c r="I380" s="22" t="s">
        <v>86</v>
      </c>
      <c r="J380" s="23">
        <f t="shared" ref="J380" si="162">AVERAGE(G380:G388)</f>
        <v>3.0557323236818049E-2</v>
      </c>
      <c r="K380" s="23">
        <f>AVERAGE(G380:G406)</f>
        <v>3.1894245061719576E-2</v>
      </c>
    </row>
    <row r="381" spans="1:11" x14ac:dyDescent="0.25">
      <c r="A381" s="12" t="s">
        <v>33</v>
      </c>
      <c r="B381" s="12">
        <v>45</v>
      </c>
      <c r="C381" s="12">
        <v>3</v>
      </c>
      <c r="D381" s="12">
        <v>1.2</v>
      </c>
      <c r="E381" s="2">
        <v>842341</v>
      </c>
      <c r="F381" s="16">
        <v>0</v>
      </c>
      <c r="G381" s="1">
        <f t="shared" si="135"/>
        <v>0</v>
      </c>
      <c r="H381" s="23"/>
      <c r="I381" s="22"/>
      <c r="J381" s="23"/>
      <c r="K381" s="23"/>
    </row>
    <row r="382" spans="1:11" x14ac:dyDescent="0.25">
      <c r="A382" s="12" t="s">
        <v>33</v>
      </c>
      <c r="B382" s="12">
        <v>45</v>
      </c>
      <c r="C382" s="12">
        <v>3</v>
      </c>
      <c r="D382" s="12">
        <v>1.3</v>
      </c>
      <c r="E382" s="2">
        <v>2710491</v>
      </c>
      <c r="F382" s="16">
        <v>0</v>
      </c>
      <c r="G382" s="1">
        <f t="shared" si="135"/>
        <v>0</v>
      </c>
      <c r="H382" s="23"/>
      <c r="I382" s="22"/>
      <c r="J382" s="23"/>
      <c r="K382" s="23"/>
    </row>
    <row r="383" spans="1:11" x14ac:dyDescent="0.25">
      <c r="A383" s="12" t="s">
        <v>33</v>
      </c>
      <c r="B383" s="12">
        <v>45</v>
      </c>
      <c r="C383" s="12">
        <v>3</v>
      </c>
      <c r="D383" s="12">
        <v>2.1</v>
      </c>
      <c r="E383" s="2">
        <v>1259536</v>
      </c>
      <c r="F383" s="16">
        <f>142462+5662</f>
        <v>148124</v>
      </c>
      <c r="G383" s="1">
        <f t="shared" si="135"/>
        <v>0.11760203757574218</v>
      </c>
      <c r="H383" s="23">
        <f t="shared" ref="H383" si="163">(SUM(F383:F385))/SUM(E383:E385)</f>
        <v>9.1431116702401616E-2</v>
      </c>
      <c r="I383" s="22" t="s">
        <v>87</v>
      </c>
      <c r="J383" s="23"/>
      <c r="K383" s="23"/>
    </row>
    <row r="384" spans="1:11" x14ac:dyDescent="0.25">
      <c r="A384" s="12" t="s">
        <v>33</v>
      </c>
      <c r="B384" s="12">
        <v>45</v>
      </c>
      <c r="C384" s="12">
        <v>3</v>
      </c>
      <c r="D384" s="12">
        <v>2.2000000000000002</v>
      </c>
      <c r="E384" s="2">
        <v>986076</v>
      </c>
      <c r="F384" s="16">
        <v>82379</v>
      </c>
      <c r="G384" s="1">
        <f t="shared" si="135"/>
        <v>8.3542242180115939E-2</v>
      </c>
      <c r="H384" s="23"/>
      <c r="I384" s="22"/>
      <c r="J384" s="23"/>
      <c r="K384" s="23"/>
    </row>
    <row r="385" spans="1:11" x14ac:dyDescent="0.25">
      <c r="A385" s="12" t="s">
        <v>33</v>
      </c>
      <c r="B385" s="12">
        <v>45</v>
      </c>
      <c r="C385" s="12">
        <v>3</v>
      </c>
      <c r="D385" s="12">
        <v>2.2999999999999998</v>
      </c>
      <c r="E385" s="2">
        <v>886243</v>
      </c>
      <c r="F385" s="16">
        <v>55846</v>
      </c>
      <c r="G385" s="1">
        <f t="shared" si="135"/>
        <v>6.301432000027081E-2</v>
      </c>
      <c r="H385" s="23"/>
      <c r="I385" s="22"/>
      <c r="J385" s="23"/>
      <c r="K385" s="23"/>
    </row>
    <row r="386" spans="1:11" x14ac:dyDescent="0.25">
      <c r="A386" s="12" t="s">
        <v>33</v>
      </c>
      <c r="B386" s="12">
        <v>45</v>
      </c>
      <c r="C386" s="12">
        <v>3</v>
      </c>
      <c r="D386" s="12">
        <v>3.1</v>
      </c>
      <c r="E386" s="2">
        <v>1558069</v>
      </c>
      <c r="F386" s="16">
        <v>6574</v>
      </c>
      <c r="G386" s="1">
        <f t="shared" ref="G386:G449" si="164">F386/E386</f>
        <v>4.219325331548218E-3</v>
      </c>
      <c r="H386" s="23">
        <f t="shared" ref="H386" si="165">(SUM(F386:F388))/SUM(E386:E388)</f>
        <v>3.6099813817534283E-3</v>
      </c>
      <c r="I386" s="22" t="s">
        <v>87</v>
      </c>
      <c r="J386" s="23"/>
      <c r="K386" s="23"/>
    </row>
    <row r="387" spans="1:11" x14ac:dyDescent="0.25">
      <c r="A387" s="12" t="s">
        <v>33</v>
      </c>
      <c r="B387" s="12">
        <v>45</v>
      </c>
      <c r="C387" s="12">
        <v>3</v>
      </c>
      <c r="D387" s="12">
        <v>3.2</v>
      </c>
      <c r="E387" s="2">
        <v>1853351</v>
      </c>
      <c r="F387" s="16">
        <f>1033+1590+1073+2297</f>
        <v>5993</v>
      </c>
      <c r="G387" s="1">
        <f t="shared" si="164"/>
        <v>3.2336022696186528E-3</v>
      </c>
      <c r="H387" s="23"/>
      <c r="I387" s="22"/>
      <c r="J387" s="23"/>
      <c r="K387" s="23"/>
    </row>
    <row r="388" spans="1:11" x14ac:dyDescent="0.25">
      <c r="A388" s="12" t="s">
        <v>33</v>
      </c>
      <c r="B388" s="12">
        <v>45</v>
      </c>
      <c r="C388" s="12">
        <v>3</v>
      </c>
      <c r="D388" s="12">
        <v>3.3</v>
      </c>
      <c r="E388" s="2">
        <v>1224892</v>
      </c>
      <c r="F388" s="16">
        <f>3891+279</f>
        <v>4170</v>
      </c>
      <c r="G388" s="1">
        <f t="shared" si="164"/>
        <v>3.4043817740666118E-3</v>
      </c>
      <c r="H388" s="23"/>
      <c r="I388" s="22"/>
      <c r="J388" s="23"/>
      <c r="K388" s="23"/>
    </row>
    <row r="389" spans="1:11" x14ac:dyDescent="0.25">
      <c r="A389" s="12" t="s">
        <v>31</v>
      </c>
      <c r="B389" s="12">
        <v>45</v>
      </c>
      <c r="C389" s="12">
        <v>3</v>
      </c>
      <c r="D389" s="12">
        <v>1.1000000000000001</v>
      </c>
      <c r="E389" s="2">
        <v>1907142</v>
      </c>
      <c r="F389" s="16">
        <f>1911+113955+1786+6293+3960+1690+1879</f>
        <v>131474</v>
      </c>
      <c r="G389" s="1">
        <f t="shared" si="164"/>
        <v>6.8937708885861676E-2</v>
      </c>
      <c r="H389" s="23">
        <f t="shared" ref="H389" si="166">(SUM(F389:F391))/SUM(E389:E391)</f>
        <v>5.4064206804363114E-2</v>
      </c>
      <c r="I389" s="22" t="s">
        <v>87</v>
      </c>
      <c r="J389" s="23">
        <f t="shared" ref="J389" si="167">AVERAGE(G389:G397)</f>
        <v>2.825343880289316E-2</v>
      </c>
      <c r="K389" s="23"/>
    </row>
    <row r="390" spans="1:11" x14ac:dyDescent="0.25">
      <c r="A390" s="12" t="s">
        <v>31</v>
      </c>
      <c r="B390" s="12">
        <v>45</v>
      </c>
      <c r="C390" s="12">
        <v>3</v>
      </c>
      <c r="D390" s="12">
        <v>1.2</v>
      </c>
      <c r="E390" s="2">
        <v>1757279</v>
      </c>
      <c r="F390" s="16">
        <f>5732+77783+16608+8252+3191</f>
        <v>111566</v>
      </c>
      <c r="G390" s="1">
        <f t="shared" si="164"/>
        <v>6.3487926504556189E-2</v>
      </c>
      <c r="H390" s="23"/>
      <c r="I390" s="22"/>
      <c r="J390" s="23"/>
      <c r="K390" s="23"/>
    </row>
    <row r="391" spans="1:11" x14ac:dyDescent="0.25">
      <c r="A391" s="12" t="s">
        <v>31</v>
      </c>
      <c r="B391" s="12">
        <v>45</v>
      </c>
      <c r="C391" s="12">
        <v>3</v>
      </c>
      <c r="D391" s="12">
        <v>1.3</v>
      </c>
      <c r="E391" s="2">
        <v>1664983</v>
      </c>
      <c r="F391" s="16">
        <f>24263+20827</f>
        <v>45090</v>
      </c>
      <c r="G391" s="1">
        <f t="shared" si="164"/>
        <v>2.7081357587434827E-2</v>
      </c>
      <c r="H391" s="23"/>
      <c r="I391" s="22"/>
      <c r="J391" s="23"/>
      <c r="K391" s="23"/>
    </row>
    <row r="392" spans="1:11" x14ac:dyDescent="0.25">
      <c r="A392" s="12" t="s">
        <v>31</v>
      </c>
      <c r="B392" s="12">
        <v>45</v>
      </c>
      <c r="C392" s="12">
        <v>3</v>
      </c>
      <c r="D392" s="12">
        <v>2.1</v>
      </c>
      <c r="E392" s="2">
        <v>872110</v>
      </c>
      <c r="F392" s="16">
        <f>5398+8147</f>
        <v>13545</v>
      </c>
      <c r="G392" s="1">
        <f t="shared" si="164"/>
        <v>1.5531297657405602E-2</v>
      </c>
      <c r="H392" s="23">
        <f t="shared" ref="H392" si="168">(SUM(F392:F394))/SUM(E392:E394)</f>
        <v>2.4927440639189172E-2</v>
      </c>
      <c r="I392" s="22" t="s">
        <v>87</v>
      </c>
      <c r="J392" s="23"/>
      <c r="K392" s="23"/>
    </row>
    <row r="393" spans="1:11" x14ac:dyDescent="0.25">
      <c r="A393" s="12" t="s">
        <v>31</v>
      </c>
      <c r="B393" s="12">
        <v>45</v>
      </c>
      <c r="C393" s="12">
        <v>3</v>
      </c>
      <c r="D393" s="12">
        <v>2.2000000000000002</v>
      </c>
      <c r="E393" s="2">
        <v>562631</v>
      </c>
      <c r="F393" s="16">
        <f>2363+23920</f>
        <v>26283</v>
      </c>
      <c r="G393" s="1">
        <f t="shared" si="164"/>
        <v>4.6714454056033174E-2</v>
      </c>
      <c r="H393" s="23"/>
      <c r="I393" s="22"/>
      <c r="J393" s="23"/>
      <c r="K393" s="23"/>
    </row>
    <row r="394" spans="1:11" x14ac:dyDescent="0.25">
      <c r="A394" s="12" t="s">
        <v>31</v>
      </c>
      <c r="B394" s="12">
        <v>45</v>
      </c>
      <c r="C394" s="12">
        <v>3</v>
      </c>
      <c r="D394" s="12">
        <v>2.2999999999999998</v>
      </c>
      <c r="E394" s="2">
        <v>784821</v>
      </c>
      <c r="F394" s="16">
        <f>4006+11494</f>
        <v>15500</v>
      </c>
      <c r="G394" s="1">
        <f t="shared" si="164"/>
        <v>1.9749726370726573E-2</v>
      </c>
      <c r="H394" s="23"/>
      <c r="I394" s="22"/>
      <c r="J394" s="23"/>
      <c r="K394" s="23"/>
    </row>
    <row r="395" spans="1:11" x14ac:dyDescent="0.25">
      <c r="A395" s="12" t="s">
        <v>31</v>
      </c>
      <c r="B395" s="12">
        <v>45</v>
      </c>
      <c r="C395" s="12">
        <v>3</v>
      </c>
      <c r="D395" s="12">
        <v>3.1</v>
      </c>
      <c r="E395" s="2">
        <v>764197</v>
      </c>
      <c r="F395" s="16">
        <v>4456</v>
      </c>
      <c r="G395" s="1">
        <f t="shared" si="164"/>
        <v>5.8309572008264886E-3</v>
      </c>
      <c r="H395" s="23">
        <f t="shared" ref="H395" si="169">(SUM(F395:F397))/SUM(E395:E397)</f>
        <v>4.9436570433300095E-3</v>
      </c>
      <c r="I395" s="22" t="s">
        <v>86</v>
      </c>
      <c r="J395" s="23"/>
      <c r="K395" s="23"/>
    </row>
    <row r="396" spans="1:11" x14ac:dyDescent="0.25">
      <c r="A396" s="12" t="s">
        <v>31</v>
      </c>
      <c r="B396" s="12">
        <v>45</v>
      </c>
      <c r="C396" s="12">
        <v>3</v>
      </c>
      <c r="D396" s="12">
        <v>3.2</v>
      </c>
      <c r="E396" s="2">
        <v>1302027</v>
      </c>
      <c r="F396" s="16">
        <v>8404</v>
      </c>
      <c r="G396" s="1">
        <f t="shared" si="164"/>
        <v>6.4545512497052671E-3</v>
      </c>
      <c r="H396" s="23"/>
      <c r="I396" s="22"/>
      <c r="J396" s="23"/>
      <c r="K396" s="23"/>
    </row>
    <row r="397" spans="1:11" x14ac:dyDescent="0.25">
      <c r="A397" s="12" t="s">
        <v>31</v>
      </c>
      <c r="B397" s="12">
        <v>45</v>
      </c>
      <c r="C397" s="12">
        <v>3</v>
      </c>
      <c r="D397" s="12">
        <v>3.3</v>
      </c>
      <c r="E397" s="2">
        <v>594357</v>
      </c>
      <c r="F397" s="16">
        <v>293</v>
      </c>
      <c r="G397" s="1">
        <f t="shared" si="164"/>
        <v>4.9296971348869445E-4</v>
      </c>
      <c r="H397" s="23"/>
      <c r="I397" s="22"/>
      <c r="J397" s="23"/>
      <c r="K397" s="23"/>
    </row>
    <row r="398" spans="1:11" x14ac:dyDescent="0.25">
      <c r="A398" s="12" t="s">
        <v>32</v>
      </c>
      <c r="B398" s="12">
        <v>45</v>
      </c>
      <c r="C398" s="12">
        <v>3</v>
      </c>
      <c r="D398" s="12">
        <v>1.1000000000000001</v>
      </c>
      <c r="E398" s="2">
        <v>1061998</v>
      </c>
      <c r="F398" s="16">
        <f>7965+6630+225+675+1804+273</f>
        <v>17572</v>
      </c>
      <c r="G398" s="1">
        <f t="shared" si="164"/>
        <v>1.6546170520095143E-2</v>
      </c>
      <c r="H398" s="23">
        <f t="shared" ref="H398" si="170">(SUM(F398:F400))/SUM(E398:E400)</f>
        <v>1.7164582638964903E-2</v>
      </c>
      <c r="I398" s="22" t="s">
        <v>87</v>
      </c>
      <c r="J398" s="23">
        <f t="shared" ref="J398" si="171">AVERAGE(G398:G406)</f>
        <v>3.6871973145447524E-2</v>
      </c>
      <c r="K398" s="23"/>
    </row>
    <row r="399" spans="1:11" x14ac:dyDescent="0.25">
      <c r="A399" s="12" t="s">
        <v>32</v>
      </c>
      <c r="B399" s="12">
        <v>45</v>
      </c>
      <c r="C399" s="12">
        <v>3</v>
      </c>
      <c r="D399" s="12">
        <v>1.2</v>
      </c>
      <c r="E399" s="2">
        <v>580866</v>
      </c>
      <c r="F399" s="16">
        <v>10314</v>
      </c>
      <c r="G399" s="1">
        <f t="shared" si="164"/>
        <v>1.7756246707502248E-2</v>
      </c>
      <c r="H399" s="23"/>
      <c r="I399" s="22"/>
      <c r="J399" s="23"/>
      <c r="K399" s="23"/>
    </row>
    <row r="400" spans="1:11" x14ac:dyDescent="0.25">
      <c r="A400" s="12" t="s">
        <v>32</v>
      </c>
      <c r="B400" s="12">
        <v>45</v>
      </c>
      <c r="C400" s="12">
        <v>3</v>
      </c>
      <c r="D400" s="12">
        <v>1.3</v>
      </c>
      <c r="E400" s="2">
        <v>796403</v>
      </c>
      <c r="F400" s="16">
        <v>13983</v>
      </c>
      <c r="G400" s="1">
        <f t="shared" si="164"/>
        <v>1.7557693780661299E-2</v>
      </c>
      <c r="H400" s="23"/>
      <c r="I400" s="22"/>
      <c r="J400" s="23"/>
      <c r="K400" s="23"/>
    </row>
    <row r="401" spans="1:11" x14ac:dyDescent="0.25">
      <c r="A401" s="12" t="s">
        <v>32</v>
      </c>
      <c r="B401" s="12">
        <v>45</v>
      </c>
      <c r="C401" s="12">
        <v>3</v>
      </c>
      <c r="D401" s="12">
        <v>2.1</v>
      </c>
      <c r="E401" s="2">
        <v>920855</v>
      </c>
      <c r="F401" s="16">
        <f>4076+24771</f>
        <v>28847</v>
      </c>
      <c r="G401" s="1">
        <f t="shared" si="164"/>
        <v>3.132632173360627E-2</v>
      </c>
      <c r="H401" s="23">
        <f t="shared" ref="H401" si="172">(SUM(F401:F403))/SUM(E401:E403)</f>
        <v>3.8635441276759303E-2</v>
      </c>
      <c r="I401" s="22" t="s">
        <v>87</v>
      </c>
      <c r="J401" s="23"/>
      <c r="K401" s="23"/>
    </row>
    <row r="402" spans="1:11" x14ac:dyDescent="0.25">
      <c r="A402" s="12" t="s">
        <v>32</v>
      </c>
      <c r="B402" s="12">
        <v>45</v>
      </c>
      <c r="C402" s="12">
        <v>3</v>
      </c>
      <c r="D402" s="12">
        <v>2.2000000000000002</v>
      </c>
      <c r="E402" s="2">
        <v>1396459</v>
      </c>
      <c r="F402" s="16">
        <v>54554</v>
      </c>
      <c r="G402" s="1">
        <f t="shared" si="164"/>
        <v>3.9065951810973325E-2</v>
      </c>
      <c r="H402" s="23"/>
      <c r="I402" s="22"/>
      <c r="J402" s="23"/>
      <c r="K402" s="23"/>
    </row>
    <row r="403" spans="1:11" x14ac:dyDescent="0.25">
      <c r="A403" s="12" t="s">
        <v>32</v>
      </c>
      <c r="B403" s="12">
        <v>45</v>
      </c>
      <c r="C403" s="12">
        <v>3</v>
      </c>
      <c r="D403" s="12">
        <v>2.2999999999999998</v>
      </c>
      <c r="E403" s="2">
        <v>1036239</v>
      </c>
      <c r="F403" s="16">
        <v>46165</v>
      </c>
      <c r="G403" s="1">
        <f t="shared" si="164"/>
        <v>4.4550533226408194E-2</v>
      </c>
      <c r="H403" s="23"/>
      <c r="I403" s="22"/>
      <c r="J403" s="23"/>
      <c r="K403" s="23"/>
    </row>
    <row r="404" spans="1:11" x14ac:dyDescent="0.25">
      <c r="A404" s="12" t="s">
        <v>32</v>
      </c>
      <c r="B404" s="12">
        <v>45</v>
      </c>
      <c r="C404" s="12">
        <v>3</v>
      </c>
      <c r="D404" s="12">
        <v>3.1</v>
      </c>
      <c r="E404" s="2">
        <v>1959608</v>
      </c>
      <c r="F404" s="16">
        <f>29466+51+67728+33635</f>
        <v>130880</v>
      </c>
      <c r="G404" s="1">
        <f t="shared" si="164"/>
        <v>6.6788867977677163E-2</v>
      </c>
      <c r="H404" s="23">
        <f t="shared" ref="H404" si="173">(SUM(F404:F406))/SUM(E404:E406)</f>
        <v>5.59137808393802E-2</v>
      </c>
      <c r="I404" s="22" t="s">
        <v>87</v>
      </c>
      <c r="J404" s="23"/>
      <c r="K404" s="23"/>
    </row>
    <row r="405" spans="1:11" x14ac:dyDescent="0.25">
      <c r="A405" s="12" t="s">
        <v>32</v>
      </c>
      <c r="B405" s="12">
        <v>45</v>
      </c>
      <c r="C405" s="12">
        <v>3</v>
      </c>
      <c r="D405" s="12">
        <v>3.2</v>
      </c>
      <c r="E405" s="2">
        <v>2085518</v>
      </c>
      <c r="F405" s="16">
        <v>138952</v>
      </c>
      <c r="G405" s="1">
        <f t="shared" si="164"/>
        <v>6.6627092166070975E-2</v>
      </c>
      <c r="H405" s="23"/>
      <c r="I405" s="22"/>
      <c r="J405" s="23"/>
      <c r="K405" s="23"/>
    </row>
    <row r="406" spans="1:11" x14ac:dyDescent="0.25">
      <c r="A406" s="12" t="s">
        <v>32</v>
      </c>
      <c r="B406" s="12">
        <v>45</v>
      </c>
      <c r="C406" s="12">
        <v>3</v>
      </c>
      <c r="D406" s="12">
        <v>3.3</v>
      </c>
      <c r="E406" s="2">
        <v>1797566</v>
      </c>
      <c r="F406" s="16">
        <v>56855</v>
      </c>
      <c r="G406" s="1">
        <f t="shared" si="164"/>
        <v>3.1628880386033113E-2</v>
      </c>
      <c r="H406" s="23"/>
      <c r="I406" s="22"/>
      <c r="J406" s="23"/>
      <c r="K406" s="23"/>
    </row>
    <row r="407" spans="1:11" x14ac:dyDescent="0.25">
      <c r="A407" s="12" t="s">
        <v>72</v>
      </c>
      <c r="B407" s="12">
        <v>5</v>
      </c>
      <c r="C407" s="12">
        <v>4</v>
      </c>
      <c r="D407" s="12">
        <v>1.1000000000000001</v>
      </c>
      <c r="E407" s="2">
        <v>2050809</v>
      </c>
      <c r="F407" s="16">
        <v>91346</v>
      </c>
      <c r="G407" s="1">
        <f t="shared" si="164"/>
        <v>4.4541446814403488E-2</v>
      </c>
      <c r="H407" s="23">
        <f t="shared" ref="H407" si="174">(SUM(F407:F409))/SUM(E407:E409)</f>
        <v>2.1930632068311744E-2</v>
      </c>
      <c r="I407" s="22" t="s">
        <v>87</v>
      </c>
      <c r="J407" s="23">
        <f t="shared" ref="J407" si="175">AVERAGE(G407:G415)</f>
        <v>1.9149262821183687E-2</v>
      </c>
      <c r="K407" s="23">
        <f>AVERAGE(G407:G433)</f>
        <v>2.6362051548168976E-2</v>
      </c>
    </row>
    <row r="408" spans="1:11" x14ac:dyDescent="0.25">
      <c r="A408" s="12" t="s">
        <v>72</v>
      </c>
      <c r="B408" s="12">
        <v>5</v>
      </c>
      <c r="C408" s="12">
        <v>4</v>
      </c>
      <c r="D408" s="12">
        <v>1.2</v>
      </c>
      <c r="E408" s="2">
        <v>2450980</v>
      </c>
      <c r="F408" s="16">
        <v>38627</v>
      </c>
      <c r="G408" s="1">
        <f t="shared" si="164"/>
        <v>1.5759818521570962E-2</v>
      </c>
      <c r="H408" s="23"/>
      <c r="I408" s="22"/>
      <c r="J408" s="23"/>
      <c r="K408" s="23"/>
    </row>
    <row r="409" spans="1:11" x14ac:dyDescent="0.25">
      <c r="A409" s="12" t="s">
        <v>72</v>
      </c>
      <c r="B409" s="12">
        <v>5</v>
      </c>
      <c r="C409" s="12">
        <v>4</v>
      </c>
      <c r="D409" s="12">
        <v>1.3</v>
      </c>
      <c r="E409" s="2">
        <v>2428791</v>
      </c>
      <c r="F409" s="16">
        <f>14556+7463</f>
        <v>22019</v>
      </c>
      <c r="G409" s="1">
        <f t="shared" si="164"/>
        <v>9.0658274013696531E-3</v>
      </c>
      <c r="H409" s="23"/>
      <c r="I409" s="22"/>
      <c r="J409" s="23"/>
      <c r="K409" s="23"/>
    </row>
    <row r="410" spans="1:11" x14ac:dyDescent="0.25">
      <c r="A410" s="12" t="s">
        <v>72</v>
      </c>
      <c r="B410" s="12">
        <v>5</v>
      </c>
      <c r="C410" s="12">
        <v>4</v>
      </c>
      <c r="D410" s="12">
        <v>2.1</v>
      </c>
      <c r="E410" s="2">
        <v>795495</v>
      </c>
      <c r="F410" s="16">
        <v>42001</v>
      </c>
      <c r="G410" s="1">
        <f t="shared" si="164"/>
        <v>5.2798571958340403E-2</v>
      </c>
      <c r="H410" s="23">
        <f t="shared" ref="H410" si="176">(SUM(F410:F412))/SUM(E410:E412)</f>
        <v>3.0574261642111956E-2</v>
      </c>
      <c r="I410" s="22" t="s">
        <v>87</v>
      </c>
      <c r="J410" s="23"/>
      <c r="K410" s="23"/>
    </row>
    <row r="411" spans="1:11" x14ac:dyDescent="0.25">
      <c r="A411" s="12" t="s">
        <v>72</v>
      </c>
      <c r="B411" s="12">
        <v>5</v>
      </c>
      <c r="C411" s="12">
        <v>4</v>
      </c>
      <c r="D411" s="12">
        <v>2.2000000000000002</v>
      </c>
      <c r="E411" s="2">
        <v>1010684</v>
      </c>
      <c r="F411" s="16">
        <f>24837+4671+1541+479</f>
        <v>31528</v>
      </c>
      <c r="G411" s="1">
        <f t="shared" si="164"/>
        <v>3.119471565791088E-2</v>
      </c>
      <c r="H411" s="23"/>
      <c r="I411" s="22"/>
      <c r="J411" s="23"/>
      <c r="K411" s="23"/>
    </row>
    <row r="412" spans="1:11" x14ac:dyDescent="0.25">
      <c r="A412" s="12" t="s">
        <v>72</v>
      </c>
      <c r="B412" s="12">
        <v>5</v>
      </c>
      <c r="C412" s="12">
        <v>4</v>
      </c>
      <c r="D412" s="12">
        <v>2.2999999999999998</v>
      </c>
      <c r="E412" s="2">
        <v>786263</v>
      </c>
      <c r="F412" s="16">
        <v>5733</v>
      </c>
      <c r="G412" s="1">
        <f t="shared" si="164"/>
        <v>7.2914533686565435E-3</v>
      </c>
      <c r="H412" s="23"/>
      <c r="I412" s="22"/>
      <c r="J412" s="23"/>
      <c r="K412" s="23"/>
    </row>
    <row r="413" spans="1:11" x14ac:dyDescent="0.25">
      <c r="A413" s="12" t="s">
        <v>72</v>
      </c>
      <c r="B413" s="12">
        <v>5</v>
      </c>
      <c r="C413" s="12">
        <v>4</v>
      </c>
      <c r="D413" s="12">
        <v>3.1</v>
      </c>
      <c r="E413" s="2">
        <v>1160939</v>
      </c>
      <c r="F413" s="16">
        <v>2107</v>
      </c>
      <c r="G413" s="1">
        <f t="shared" si="164"/>
        <v>1.814910171852268E-3</v>
      </c>
      <c r="H413" s="23">
        <f t="shared" ref="H413" si="177">(SUM(F413:F415))/SUM(E413:E415)</f>
        <v>4.0396342048996505E-3</v>
      </c>
      <c r="I413" s="22" t="s">
        <v>86</v>
      </c>
      <c r="J413" s="23"/>
      <c r="K413" s="23"/>
    </row>
    <row r="414" spans="1:11" x14ac:dyDescent="0.25">
      <c r="A414" s="12" t="s">
        <v>72</v>
      </c>
      <c r="B414" s="12">
        <v>5</v>
      </c>
      <c r="C414" s="12">
        <v>4</v>
      </c>
      <c r="D414" s="12">
        <v>3.2</v>
      </c>
      <c r="E414" s="2">
        <v>1412590</v>
      </c>
      <c r="F414" s="16">
        <f>6682+2325</f>
        <v>9007</v>
      </c>
      <c r="G414" s="1">
        <f t="shared" si="164"/>
        <v>6.3762308950226177E-3</v>
      </c>
      <c r="H414" s="23"/>
      <c r="I414" s="22"/>
      <c r="J414" s="23"/>
      <c r="K414" s="23"/>
    </row>
    <row r="415" spans="1:11" x14ac:dyDescent="0.25">
      <c r="A415" s="12" t="s">
        <v>72</v>
      </c>
      <c r="B415" s="12">
        <v>5</v>
      </c>
      <c r="C415" s="12">
        <v>4</v>
      </c>
      <c r="D415" s="12">
        <v>3.3</v>
      </c>
      <c r="E415" s="2">
        <v>1331280</v>
      </c>
      <c r="F415" s="16">
        <v>4660</v>
      </c>
      <c r="G415" s="1">
        <f t="shared" si="164"/>
        <v>3.5003906015263508E-3</v>
      </c>
      <c r="H415" s="23"/>
      <c r="I415" s="22"/>
      <c r="J415" s="23"/>
      <c r="K415" s="23"/>
    </row>
    <row r="416" spans="1:11" x14ac:dyDescent="0.25">
      <c r="A416" s="12" t="s">
        <v>71</v>
      </c>
      <c r="B416" s="12">
        <v>5</v>
      </c>
      <c r="C416" s="12">
        <v>4</v>
      </c>
      <c r="D416" s="12">
        <v>1.1000000000000001</v>
      </c>
      <c r="E416" s="2">
        <v>983709</v>
      </c>
      <c r="F416" s="16">
        <v>2056</v>
      </c>
      <c r="G416" s="1">
        <f t="shared" si="164"/>
        <v>2.0900489880645596E-3</v>
      </c>
      <c r="H416" s="23">
        <f t="shared" ref="H416" si="178">(SUM(F416:F418))/SUM(E416:E418)</f>
        <v>2.2652319924963759E-2</v>
      </c>
      <c r="I416" s="22" t="s">
        <v>87</v>
      </c>
      <c r="J416" s="23">
        <f t="shared" ref="J416" si="179">AVERAGE(G416:G424)</f>
        <v>1.7810918054683714E-2</v>
      </c>
      <c r="K416" s="23"/>
    </row>
    <row r="417" spans="1:11" x14ac:dyDescent="0.25">
      <c r="A417" s="12" t="s">
        <v>71</v>
      </c>
      <c r="B417" s="12">
        <v>5</v>
      </c>
      <c r="C417" s="12">
        <v>4</v>
      </c>
      <c r="D417" s="12">
        <v>1.2</v>
      </c>
      <c r="E417" s="2">
        <v>1118669</v>
      </c>
      <c r="F417" s="16">
        <v>45835</v>
      </c>
      <c r="G417" s="1">
        <f t="shared" si="164"/>
        <v>4.0972798924436095E-2</v>
      </c>
      <c r="H417" s="23"/>
      <c r="I417" s="22"/>
      <c r="J417" s="23"/>
      <c r="K417" s="23"/>
    </row>
    <row r="418" spans="1:11" x14ac:dyDescent="0.25">
      <c r="A418" s="12" t="s">
        <v>71</v>
      </c>
      <c r="B418" s="12">
        <v>5</v>
      </c>
      <c r="C418" s="12">
        <v>4</v>
      </c>
      <c r="D418" s="12">
        <v>1.3</v>
      </c>
      <c r="E418" s="2">
        <v>1079018</v>
      </c>
      <c r="F418" s="16">
        <v>24175</v>
      </c>
      <c r="G418" s="1">
        <f t="shared" si="164"/>
        <v>2.2404630877334762E-2</v>
      </c>
      <c r="H418" s="23"/>
      <c r="I418" s="22"/>
      <c r="J418" s="23"/>
      <c r="K418" s="23"/>
    </row>
    <row r="419" spans="1:11" x14ac:dyDescent="0.25">
      <c r="A419" s="12" t="s">
        <v>71</v>
      </c>
      <c r="B419" s="12">
        <v>5</v>
      </c>
      <c r="C419" s="12">
        <v>4</v>
      </c>
      <c r="D419" s="12">
        <v>2.1</v>
      </c>
      <c r="E419" s="2">
        <v>354633</v>
      </c>
      <c r="F419" s="16">
        <v>0</v>
      </c>
      <c r="G419" s="1">
        <f t="shared" si="164"/>
        <v>0</v>
      </c>
      <c r="H419" s="23">
        <f t="shared" ref="H419" si="180">(SUM(F419:F421))/SUM(E419:E421)</f>
        <v>1.6471108522187687E-2</v>
      </c>
      <c r="I419" s="22" t="s">
        <v>87</v>
      </c>
      <c r="J419" s="23"/>
      <c r="K419" s="23"/>
    </row>
    <row r="420" spans="1:11" x14ac:dyDescent="0.25">
      <c r="A420" s="12" t="s">
        <v>71</v>
      </c>
      <c r="B420" s="12">
        <v>5</v>
      </c>
      <c r="C420" s="12">
        <v>4</v>
      </c>
      <c r="D420" s="12">
        <v>2.2000000000000002</v>
      </c>
      <c r="E420" s="2">
        <v>1020863</v>
      </c>
      <c r="F420" s="16">
        <v>21618</v>
      </c>
      <c r="G420" s="1">
        <f t="shared" si="164"/>
        <v>2.1176200920201831E-2</v>
      </c>
      <c r="H420" s="23"/>
      <c r="I420" s="22"/>
      <c r="J420" s="23"/>
      <c r="K420" s="23"/>
    </row>
    <row r="421" spans="1:11" x14ac:dyDescent="0.25">
      <c r="A421" s="12" t="s">
        <v>71</v>
      </c>
      <c r="B421" s="12">
        <v>5</v>
      </c>
      <c r="C421" s="12">
        <v>4</v>
      </c>
      <c r="D421" s="12">
        <v>2.2999999999999998</v>
      </c>
      <c r="E421" s="2">
        <v>1048506</v>
      </c>
      <c r="F421" s="16">
        <v>18308</v>
      </c>
      <c r="G421" s="1">
        <f t="shared" si="164"/>
        <v>1.7461035034611151E-2</v>
      </c>
      <c r="H421" s="23"/>
      <c r="I421" s="22"/>
      <c r="J421" s="23"/>
      <c r="K421" s="23"/>
    </row>
    <row r="422" spans="1:11" x14ac:dyDescent="0.25">
      <c r="A422" s="12" t="s">
        <v>71</v>
      </c>
      <c r="B422" s="12">
        <v>5</v>
      </c>
      <c r="C422" s="12">
        <v>4</v>
      </c>
      <c r="D422" s="12">
        <v>3.1</v>
      </c>
      <c r="E422" s="2">
        <v>1720479</v>
      </c>
      <c r="F422" s="16">
        <f>79530+1298</f>
        <v>80828</v>
      </c>
      <c r="G422" s="1">
        <f t="shared" si="164"/>
        <v>4.6979939888833283E-2</v>
      </c>
      <c r="H422" s="23">
        <f t="shared" ref="H422" si="181">(SUM(F422:F424))/SUM(E422:E424)</f>
        <v>1.9043383921937669E-2</v>
      </c>
      <c r="I422" s="22" t="s">
        <v>87</v>
      </c>
      <c r="J422" s="23"/>
      <c r="K422" s="23"/>
    </row>
    <row r="423" spans="1:11" x14ac:dyDescent="0.25">
      <c r="A423" s="12" t="s">
        <v>71</v>
      </c>
      <c r="B423" s="12">
        <v>5</v>
      </c>
      <c r="C423" s="12">
        <v>4</v>
      </c>
      <c r="D423" s="12">
        <v>3.2</v>
      </c>
      <c r="E423" s="2">
        <v>1470413</v>
      </c>
      <c r="F423" s="16">
        <v>4831</v>
      </c>
      <c r="G423" s="1">
        <f t="shared" si="164"/>
        <v>3.2854714967835569E-3</v>
      </c>
      <c r="H423" s="23"/>
      <c r="I423" s="22"/>
      <c r="J423" s="23"/>
      <c r="K423" s="23"/>
    </row>
    <row r="424" spans="1:11" x14ac:dyDescent="0.25">
      <c r="A424" s="12" t="s">
        <v>71</v>
      </c>
      <c r="B424" s="12">
        <v>5</v>
      </c>
      <c r="C424" s="12">
        <v>4</v>
      </c>
      <c r="D424" s="12">
        <v>3.3</v>
      </c>
      <c r="E424" s="2">
        <v>1898067</v>
      </c>
      <c r="F424" s="16">
        <v>11252</v>
      </c>
      <c r="G424" s="1">
        <f t="shared" si="164"/>
        <v>5.9281363618881736E-3</v>
      </c>
      <c r="H424" s="23"/>
      <c r="I424" s="22"/>
      <c r="J424" s="23"/>
      <c r="K424" s="23"/>
    </row>
    <row r="425" spans="1:11" x14ac:dyDescent="0.25">
      <c r="A425" s="12" t="s">
        <v>70</v>
      </c>
      <c r="B425" s="12">
        <v>5</v>
      </c>
      <c r="C425" s="12">
        <v>4</v>
      </c>
      <c r="D425" s="12">
        <v>1.1000000000000001</v>
      </c>
      <c r="E425" s="2">
        <v>940392</v>
      </c>
      <c r="F425" s="16">
        <v>41717</v>
      </c>
      <c r="G425" s="1">
        <f t="shared" si="164"/>
        <v>4.4361287633242305E-2</v>
      </c>
      <c r="H425" s="23">
        <f t="shared" ref="H425" si="182">(SUM(F425:F427))/SUM(E425:E427)</f>
        <v>3.936665211040672E-2</v>
      </c>
      <c r="I425" s="22" t="s">
        <v>87</v>
      </c>
      <c r="J425" s="23">
        <f t="shared" ref="J425" si="183">AVERAGE(G425:G433)</f>
        <v>4.2125973768639531E-2</v>
      </c>
      <c r="K425" s="23"/>
    </row>
    <row r="426" spans="1:11" x14ac:dyDescent="0.25">
      <c r="A426" s="12" t="s">
        <v>70</v>
      </c>
      <c r="B426" s="12">
        <v>5</v>
      </c>
      <c r="C426" s="12">
        <v>4</v>
      </c>
      <c r="D426" s="12">
        <v>1.2</v>
      </c>
      <c r="E426" s="2">
        <v>937884</v>
      </c>
      <c r="F426" s="16">
        <v>42497</v>
      </c>
      <c r="G426" s="1">
        <f t="shared" si="164"/>
        <v>4.5311573712740597E-2</v>
      </c>
      <c r="H426" s="23"/>
      <c r="I426" s="22"/>
      <c r="J426" s="23"/>
      <c r="K426" s="23"/>
    </row>
    <row r="427" spans="1:11" x14ac:dyDescent="0.25">
      <c r="A427" s="12" t="s">
        <v>70</v>
      </c>
      <c r="B427" s="12">
        <v>5</v>
      </c>
      <c r="C427" s="12">
        <v>4</v>
      </c>
      <c r="D427" s="12">
        <v>1.3</v>
      </c>
      <c r="E427" s="2">
        <v>778084</v>
      </c>
      <c r="F427" s="16">
        <v>20358</v>
      </c>
      <c r="G427" s="1">
        <f t="shared" si="164"/>
        <v>2.6164270181625635E-2</v>
      </c>
      <c r="H427" s="23"/>
      <c r="I427" s="22"/>
      <c r="J427" s="23"/>
      <c r="K427" s="23"/>
    </row>
    <row r="428" spans="1:11" x14ac:dyDescent="0.25">
      <c r="A428" s="12" t="s">
        <v>70</v>
      </c>
      <c r="B428" s="12">
        <v>5</v>
      </c>
      <c r="C428" s="12">
        <v>4</v>
      </c>
      <c r="D428" s="12">
        <v>2.1</v>
      </c>
      <c r="E428" s="2">
        <v>1654493</v>
      </c>
      <c r="F428" s="16">
        <f>106728+83897+3427+6514</f>
        <v>200566</v>
      </c>
      <c r="G428" s="1">
        <f t="shared" si="164"/>
        <v>0.12122505202500101</v>
      </c>
      <c r="H428" s="23">
        <f>(SUM(F428:F429))/SUM(E428:E429)</f>
        <v>0.1314341598892951</v>
      </c>
      <c r="I428" s="22" t="s">
        <v>87</v>
      </c>
      <c r="J428" s="23"/>
      <c r="K428" s="23"/>
    </row>
    <row r="429" spans="1:11" x14ac:dyDescent="0.25">
      <c r="A429" s="12" t="s">
        <v>70</v>
      </c>
      <c r="B429" s="12">
        <v>5</v>
      </c>
      <c r="C429" s="12">
        <v>4</v>
      </c>
      <c r="D429" s="12">
        <v>2.2000000000000002</v>
      </c>
      <c r="E429" s="2">
        <v>1856824</v>
      </c>
      <c r="F429" s="16">
        <f>251324+9617</f>
        <v>260941</v>
      </c>
      <c r="G429" s="1">
        <f t="shared" si="164"/>
        <v>0.14053082036854328</v>
      </c>
      <c r="H429" s="23"/>
      <c r="I429" s="22"/>
      <c r="J429" s="23"/>
      <c r="K429" s="23"/>
    </row>
    <row r="430" spans="1:11" x14ac:dyDescent="0.25">
      <c r="A430" s="12" t="s">
        <v>70</v>
      </c>
      <c r="B430" s="12">
        <v>5</v>
      </c>
      <c r="C430" s="12">
        <v>4</v>
      </c>
      <c r="D430" s="12">
        <v>3.1</v>
      </c>
      <c r="E430" s="2">
        <v>561498</v>
      </c>
      <c r="F430" s="16">
        <v>0</v>
      </c>
      <c r="G430" s="1">
        <f t="shared" si="164"/>
        <v>0</v>
      </c>
      <c r="H430" s="23">
        <f t="shared" ref="H430" si="184">(SUM(F430:F432))/SUM(E430:E432)</f>
        <v>4.5103156479531817E-4</v>
      </c>
      <c r="I430" s="22" t="s">
        <v>86</v>
      </c>
      <c r="J430" s="23"/>
      <c r="K430" s="23"/>
    </row>
    <row r="431" spans="1:11" x14ac:dyDescent="0.25">
      <c r="A431" s="12" t="s">
        <v>70</v>
      </c>
      <c r="B431" s="12">
        <v>5</v>
      </c>
      <c r="C431" s="12">
        <v>4</v>
      </c>
      <c r="D431" s="12">
        <v>3.2</v>
      </c>
      <c r="E431" s="2">
        <v>609899</v>
      </c>
      <c r="F431" s="16">
        <v>154</v>
      </c>
      <c r="G431" s="1">
        <f t="shared" si="164"/>
        <v>2.5250082390690918E-4</v>
      </c>
      <c r="H431" s="23"/>
      <c r="I431" s="22"/>
      <c r="J431" s="23"/>
      <c r="K431" s="23"/>
    </row>
    <row r="432" spans="1:11" x14ac:dyDescent="0.25">
      <c r="A432" s="12" t="s">
        <v>70</v>
      </c>
      <c r="B432" s="12">
        <v>5</v>
      </c>
      <c r="C432" s="12">
        <v>4</v>
      </c>
      <c r="D432" s="12">
        <v>3.3</v>
      </c>
      <c r="E432" s="2">
        <v>447115</v>
      </c>
      <c r="F432" s="16">
        <f>341+235</f>
        <v>576</v>
      </c>
      <c r="G432" s="1">
        <f t="shared" si="164"/>
        <v>1.2882591726960625E-3</v>
      </c>
      <c r="H432" s="23"/>
      <c r="I432" s="22"/>
      <c r="J432" s="23"/>
      <c r="K432" s="23"/>
    </row>
    <row r="433" spans="1:11" x14ac:dyDescent="0.25">
      <c r="A433" s="12" t="s">
        <v>21</v>
      </c>
      <c r="B433" s="12">
        <v>10</v>
      </c>
      <c r="C433" s="12">
        <v>4</v>
      </c>
      <c r="D433" s="12">
        <v>1.1000000000000001</v>
      </c>
      <c r="E433" s="2">
        <v>2179696</v>
      </c>
      <c r="F433" s="16">
        <v>0</v>
      </c>
      <c r="G433" s="1">
        <f t="shared" si="164"/>
        <v>0</v>
      </c>
      <c r="H433" s="23">
        <f t="shared" ref="H433:H496" si="185">(SUM(F433:F435))/SUM(E433:E435)</f>
        <v>4.9516343557604189E-4</v>
      </c>
      <c r="I433" s="22" t="s">
        <v>86</v>
      </c>
      <c r="J433" s="23"/>
      <c r="K433" s="23"/>
    </row>
    <row r="434" spans="1:11" x14ac:dyDescent="0.25">
      <c r="A434" s="12" t="s">
        <v>21</v>
      </c>
      <c r="B434" s="12">
        <v>10</v>
      </c>
      <c r="C434" s="12">
        <v>4</v>
      </c>
      <c r="D434" s="12">
        <v>1.2</v>
      </c>
      <c r="E434" s="2">
        <v>1979931</v>
      </c>
      <c r="F434" s="16">
        <v>3208</v>
      </c>
      <c r="G434" s="1">
        <f t="shared" si="164"/>
        <v>1.6202584837552419E-3</v>
      </c>
      <c r="H434" s="23"/>
      <c r="I434" s="22"/>
      <c r="J434" s="23">
        <f>AVERAGE(G434:G441)</f>
        <v>2.775251376885237E-2</v>
      </c>
      <c r="K434" s="23">
        <f>AVERAGE(G434:G459)</f>
        <v>3.5099953974942526E-2</v>
      </c>
    </row>
    <row r="435" spans="1:11" x14ac:dyDescent="0.25">
      <c r="A435" s="12" t="s">
        <v>21</v>
      </c>
      <c r="B435" s="12">
        <v>10</v>
      </c>
      <c r="C435" s="12">
        <v>4</v>
      </c>
      <c r="D435" s="12">
        <v>1.3</v>
      </c>
      <c r="E435" s="2">
        <v>2319042</v>
      </c>
      <c r="F435" s="16">
        <v>0</v>
      </c>
      <c r="G435" s="1">
        <f t="shared" si="164"/>
        <v>0</v>
      </c>
      <c r="H435" s="23"/>
      <c r="I435" s="22"/>
      <c r="J435" s="23"/>
      <c r="K435" s="23"/>
    </row>
    <row r="436" spans="1:11" x14ac:dyDescent="0.25">
      <c r="A436" s="12" t="s">
        <v>21</v>
      </c>
      <c r="B436" s="12">
        <v>10</v>
      </c>
      <c r="C436" s="12">
        <v>4</v>
      </c>
      <c r="D436" s="12">
        <v>2.1</v>
      </c>
      <c r="E436" s="2">
        <v>1317165</v>
      </c>
      <c r="F436" s="16">
        <v>18040</v>
      </c>
      <c r="G436" s="1">
        <f t="shared" si="164"/>
        <v>1.3696082115756188E-2</v>
      </c>
      <c r="H436" s="23">
        <f t="shared" si="185"/>
        <v>6.1939401729404365E-3</v>
      </c>
      <c r="I436" s="22" t="s">
        <v>86</v>
      </c>
      <c r="J436" s="23"/>
      <c r="K436" s="23"/>
    </row>
    <row r="437" spans="1:11" x14ac:dyDescent="0.25">
      <c r="A437" s="12" t="s">
        <v>21</v>
      </c>
      <c r="B437" s="12">
        <v>10</v>
      </c>
      <c r="C437" s="12">
        <v>4</v>
      </c>
      <c r="D437" s="12">
        <v>2.2000000000000002</v>
      </c>
      <c r="E437" s="2">
        <v>1328169</v>
      </c>
      <c r="F437" s="16">
        <v>1706</v>
      </c>
      <c r="G437" s="1">
        <f t="shared" si="164"/>
        <v>1.2844750931545609E-3</v>
      </c>
      <c r="H437" s="23"/>
      <c r="I437" s="22"/>
      <c r="J437" s="23"/>
      <c r="K437" s="23"/>
    </row>
    <row r="438" spans="1:11" x14ac:dyDescent="0.25">
      <c r="A438" s="12" t="s">
        <v>21</v>
      </c>
      <c r="B438" s="12">
        <v>10</v>
      </c>
      <c r="C438" s="12">
        <v>4</v>
      </c>
      <c r="D438" s="12">
        <v>2.2999999999999998</v>
      </c>
      <c r="E438" s="2">
        <v>1478051</v>
      </c>
      <c r="F438" s="16">
        <v>5794</v>
      </c>
      <c r="G438" s="1">
        <f t="shared" si="164"/>
        <v>3.9200271167909636E-3</v>
      </c>
      <c r="H438" s="23"/>
      <c r="I438" s="22"/>
      <c r="J438" s="23"/>
      <c r="K438" s="23"/>
    </row>
    <row r="439" spans="1:11" x14ac:dyDescent="0.25">
      <c r="A439" s="12" t="s">
        <v>21</v>
      </c>
      <c r="B439" s="12">
        <v>10</v>
      </c>
      <c r="C439" s="12">
        <v>4</v>
      </c>
      <c r="D439" s="12">
        <v>3.1</v>
      </c>
      <c r="E439" s="2">
        <v>1527584</v>
      </c>
      <c r="F439" s="16">
        <f>69622+11261</f>
        <v>80883</v>
      </c>
      <c r="G439" s="1">
        <f t="shared" si="164"/>
        <v>5.294831577183317E-2</v>
      </c>
      <c r="H439" s="23">
        <f t="shared" si="185"/>
        <v>6.8550817002240111E-2</v>
      </c>
      <c r="I439" s="22" t="s">
        <v>87</v>
      </c>
      <c r="J439" s="23"/>
      <c r="K439" s="23"/>
    </row>
    <row r="440" spans="1:11" x14ac:dyDescent="0.25">
      <c r="A440" s="12" t="s">
        <v>21</v>
      </c>
      <c r="B440" s="12">
        <v>10</v>
      </c>
      <c r="C440" s="12">
        <v>4</v>
      </c>
      <c r="D440" s="12">
        <v>3.2</v>
      </c>
      <c r="E440" s="2">
        <v>2070311</v>
      </c>
      <c r="F440" s="16">
        <v>166705</v>
      </c>
      <c r="G440" s="1">
        <f t="shared" si="164"/>
        <v>8.052171871762262E-2</v>
      </c>
      <c r="H440" s="23"/>
      <c r="I440" s="22"/>
      <c r="J440" s="23"/>
      <c r="K440" s="23"/>
    </row>
    <row r="441" spans="1:11" x14ac:dyDescent="0.25">
      <c r="A441" s="12" t="s">
        <v>21</v>
      </c>
      <c r="B441" s="12">
        <v>10</v>
      </c>
      <c r="C441" s="12">
        <v>4</v>
      </c>
      <c r="D441" s="12">
        <v>3.3</v>
      </c>
      <c r="E441" s="2">
        <v>1820144</v>
      </c>
      <c r="F441" s="16">
        <f>65652+58171</f>
        <v>123823</v>
      </c>
      <c r="G441" s="1">
        <f t="shared" si="164"/>
        <v>6.8029232851906221E-2</v>
      </c>
      <c r="H441" s="23"/>
      <c r="I441" s="22"/>
      <c r="J441" s="23"/>
      <c r="K441" s="23"/>
    </row>
    <row r="442" spans="1:11" x14ac:dyDescent="0.25">
      <c r="A442" s="12" t="s">
        <v>19</v>
      </c>
      <c r="B442" s="12">
        <v>10</v>
      </c>
      <c r="C442" s="12">
        <v>4</v>
      </c>
      <c r="D442" s="12">
        <v>1.1000000000000001</v>
      </c>
      <c r="E442" s="2">
        <v>1375021</v>
      </c>
      <c r="F442" s="16">
        <v>168985</v>
      </c>
      <c r="G442" s="1">
        <f t="shared" si="164"/>
        <v>0.12289630485643492</v>
      </c>
      <c r="H442" s="23">
        <f t="shared" si="185"/>
        <v>7.6394509862158413E-2</v>
      </c>
      <c r="I442" s="22" t="s">
        <v>87</v>
      </c>
      <c r="J442" s="23">
        <f t="shared" ref="J442" si="186">AVERAGE(G442:G450)</f>
        <v>5.1922845308538357E-2</v>
      </c>
      <c r="K442" s="23"/>
    </row>
    <row r="443" spans="1:11" x14ac:dyDescent="0.25">
      <c r="A443" s="12" t="s">
        <v>19</v>
      </c>
      <c r="B443" s="12">
        <v>10</v>
      </c>
      <c r="C443" s="12">
        <v>4</v>
      </c>
      <c r="D443" s="12">
        <v>1.2</v>
      </c>
      <c r="E443" s="2">
        <v>1560033</v>
      </c>
      <c r="F443" s="16">
        <v>85177</v>
      </c>
      <c r="G443" s="1">
        <f t="shared" si="164"/>
        <v>5.459948603651333E-2</v>
      </c>
      <c r="H443" s="23"/>
      <c r="I443" s="22"/>
      <c r="J443" s="23"/>
      <c r="K443" s="23"/>
    </row>
    <row r="444" spans="1:11" x14ac:dyDescent="0.25">
      <c r="A444" s="12" t="s">
        <v>19</v>
      </c>
      <c r="B444" s="12">
        <v>10</v>
      </c>
      <c r="C444" s="12">
        <v>4</v>
      </c>
      <c r="D444" s="12">
        <v>1.3</v>
      </c>
      <c r="E444" s="2">
        <v>1145645</v>
      </c>
      <c r="F444" s="16">
        <f>144+57437</f>
        <v>57581</v>
      </c>
      <c r="G444" s="1">
        <f t="shared" si="164"/>
        <v>5.0260770133854729E-2</v>
      </c>
      <c r="H444" s="23"/>
      <c r="I444" s="22"/>
      <c r="J444" s="23"/>
      <c r="K444" s="23"/>
    </row>
    <row r="445" spans="1:11" x14ac:dyDescent="0.25">
      <c r="A445" s="12" t="s">
        <v>19</v>
      </c>
      <c r="B445" s="12">
        <v>10</v>
      </c>
      <c r="C445" s="12">
        <v>4</v>
      </c>
      <c r="D445" s="12">
        <v>2.1</v>
      </c>
      <c r="E445" s="2">
        <v>1397547</v>
      </c>
      <c r="F445" s="16">
        <v>19697</v>
      </c>
      <c r="G445" s="1">
        <f t="shared" si="164"/>
        <v>1.4093980381339591E-2</v>
      </c>
      <c r="H445" s="23">
        <f t="shared" si="185"/>
        <v>1.0403245697097017E-2</v>
      </c>
      <c r="I445" s="22" t="s">
        <v>87</v>
      </c>
      <c r="J445" s="23"/>
      <c r="K445" s="23"/>
    </row>
    <row r="446" spans="1:11" x14ac:dyDescent="0.25">
      <c r="A446" s="12" t="s">
        <v>19</v>
      </c>
      <c r="B446" s="12">
        <v>10</v>
      </c>
      <c r="C446" s="12">
        <v>4</v>
      </c>
      <c r="D446" s="12">
        <v>2.2000000000000002</v>
      </c>
      <c r="E446" s="2">
        <v>1485929</v>
      </c>
      <c r="F446" s="16">
        <v>5363</v>
      </c>
      <c r="G446" s="1">
        <f t="shared" si="164"/>
        <v>3.6091899411075496E-3</v>
      </c>
      <c r="H446" s="23"/>
      <c r="I446" s="22"/>
      <c r="J446" s="23"/>
      <c r="K446" s="23"/>
    </row>
    <row r="447" spans="1:11" x14ac:dyDescent="0.25">
      <c r="A447" s="12" t="s">
        <v>19</v>
      </c>
      <c r="B447" s="12">
        <v>10</v>
      </c>
      <c r="C447" s="12">
        <v>4</v>
      </c>
      <c r="D447" s="12">
        <v>2.2999999999999998</v>
      </c>
      <c r="E447" s="2">
        <v>1754788</v>
      </c>
      <c r="F447" s="16">
        <v>23193</v>
      </c>
      <c r="G447" s="1">
        <f t="shared" si="164"/>
        <v>1.3216981196588989E-2</v>
      </c>
      <c r="H447" s="23"/>
      <c r="I447" s="22"/>
      <c r="J447" s="23"/>
      <c r="K447" s="23"/>
    </row>
    <row r="448" spans="1:11" x14ac:dyDescent="0.25">
      <c r="A448" s="12" t="s">
        <v>19</v>
      </c>
      <c r="B448" s="12">
        <v>10</v>
      </c>
      <c r="C448" s="12">
        <v>4</v>
      </c>
      <c r="D448" s="12">
        <v>3.1</v>
      </c>
      <c r="E448" s="2">
        <v>1155179</v>
      </c>
      <c r="F448" s="16">
        <v>85663</v>
      </c>
      <c r="G448" s="1">
        <f t="shared" si="164"/>
        <v>7.415560705310606E-2</v>
      </c>
      <c r="H448" s="23">
        <f t="shared" si="185"/>
        <v>6.8228580992641674E-2</v>
      </c>
      <c r="I448" s="22" t="s">
        <v>87</v>
      </c>
      <c r="J448" s="23"/>
      <c r="K448" s="23"/>
    </row>
    <row r="449" spans="1:11" x14ac:dyDescent="0.25">
      <c r="A449" s="12" t="s">
        <v>19</v>
      </c>
      <c r="B449" s="12">
        <v>10</v>
      </c>
      <c r="C449" s="12">
        <v>4</v>
      </c>
      <c r="D449" s="12">
        <v>3.2</v>
      </c>
      <c r="E449" s="2">
        <v>1546627</v>
      </c>
      <c r="F449" s="16">
        <v>79744</v>
      </c>
      <c r="G449" s="1">
        <f t="shared" si="164"/>
        <v>5.1559943024400839E-2</v>
      </c>
      <c r="H449" s="23"/>
      <c r="I449" s="22"/>
      <c r="J449" s="23"/>
      <c r="K449" s="23"/>
    </row>
    <row r="450" spans="1:11" x14ac:dyDescent="0.25">
      <c r="A450" s="12" t="s">
        <v>19</v>
      </c>
      <c r="B450" s="12">
        <v>10</v>
      </c>
      <c r="C450" s="12">
        <v>4</v>
      </c>
      <c r="D450" s="12">
        <v>3.3</v>
      </c>
      <c r="E450" s="2">
        <v>1289322</v>
      </c>
      <c r="F450" s="16">
        <f>30945+22570+4122+8868+8242+10749+21406</f>
        <v>106902</v>
      </c>
      <c r="G450" s="1">
        <f t="shared" ref="G450:G513" si="187">F450/E450</f>
        <v>8.2913345153499282E-2</v>
      </c>
      <c r="H450" s="23"/>
      <c r="I450" s="22"/>
      <c r="J450" s="23"/>
      <c r="K450" s="23"/>
    </row>
    <row r="451" spans="1:11" x14ac:dyDescent="0.25">
      <c r="A451" s="12" t="s">
        <v>20</v>
      </c>
      <c r="B451" s="12">
        <v>10</v>
      </c>
      <c r="C451" s="12">
        <v>4</v>
      </c>
      <c r="D451" s="12">
        <v>1.1000000000000001</v>
      </c>
      <c r="E451" s="2">
        <v>1272454</v>
      </c>
      <c r="F451" s="16">
        <v>101986</v>
      </c>
      <c r="G451" s="1">
        <f t="shared" si="187"/>
        <v>8.014906629237678E-2</v>
      </c>
      <c r="H451" s="23">
        <f t="shared" si="185"/>
        <v>6.9485602933206311E-2</v>
      </c>
      <c r="I451" s="22" t="s">
        <v>87</v>
      </c>
      <c r="J451" s="23">
        <f t="shared" ref="J451" si="188">AVERAGE(G451:G459)</f>
        <v>2.4808120602315735E-2</v>
      </c>
      <c r="K451" s="23"/>
    </row>
    <row r="452" spans="1:11" x14ac:dyDescent="0.25">
      <c r="A452" s="12" t="s">
        <v>20</v>
      </c>
      <c r="B452" s="12">
        <v>10</v>
      </c>
      <c r="C452" s="12">
        <v>4</v>
      </c>
      <c r="D452" s="12">
        <v>1.2</v>
      </c>
      <c r="E452" s="2">
        <v>1221903</v>
      </c>
      <c r="F452" s="16">
        <v>144153</v>
      </c>
      <c r="G452" s="1">
        <f t="shared" si="187"/>
        <v>0.11797417634624024</v>
      </c>
      <c r="H452" s="23"/>
      <c r="I452" s="22"/>
      <c r="J452" s="23"/>
      <c r="K452" s="23"/>
    </row>
    <row r="453" spans="1:11" x14ac:dyDescent="0.25">
      <c r="A453" s="12" t="s">
        <v>20</v>
      </c>
      <c r="B453" s="12">
        <v>10</v>
      </c>
      <c r="C453" s="12">
        <v>4</v>
      </c>
      <c r="D453" s="12">
        <v>1.3</v>
      </c>
      <c r="E453" s="2">
        <v>1465269</v>
      </c>
      <c r="F453" s="16">
        <v>28998</v>
      </c>
      <c r="G453" s="1">
        <f t="shared" si="187"/>
        <v>1.9790222819154709E-2</v>
      </c>
      <c r="H453" s="23"/>
      <c r="I453" s="22"/>
      <c r="J453" s="23"/>
      <c r="K453" s="23"/>
    </row>
    <row r="454" spans="1:11" x14ac:dyDescent="0.25">
      <c r="A454" s="12" t="s">
        <v>20</v>
      </c>
      <c r="B454" s="12">
        <v>10</v>
      </c>
      <c r="C454" s="12">
        <v>4</v>
      </c>
      <c r="D454" s="12">
        <v>2.1</v>
      </c>
      <c r="E454" s="2">
        <v>1870432</v>
      </c>
      <c r="F454" s="16">
        <v>0</v>
      </c>
      <c r="G454" s="1">
        <f t="shared" si="187"/>
        <v>0</v>
      </c>
      <c r="H454" s="23">
        <f t="shared" si="185"/>
        <v>5.5120034018867619E-5</v>
      </c>
      <c r="I454" s="22" t="s">
        <v>86</v>
      </c>
      <c r="J454" s="23"/>
      <c r="K454" s="23"/>
    </row>
    <row r="455" spans="1:11" x14ac:dyDescent="0.25">
      <c r="A455" s="12" t="s">
        <v>20</v>
      </c>
      <c r="B455" s="12">
        <v>10</v>
      </c>
      <c r="C455" s="12">
        <v>4</v>
      </c>
      <c r="D455" s="12">
        <v>2.2000000000000002</v>
      </c>
      <c r="E455" s="2">
        <v>1836285</v>
      </c>
      <c r="F455" s="16">
        <v>326</v>
      </c>
      <c r="G455" s="1">
        <f t="shared" si="187"/>
        <v>1.7753235472707122E-4</v>
      </c>
      <c r="H455" s="23"/>
      <c r="I455" s="22"/>
      <c r="J455" s="23"/>
      <c r="K455" s="23"/>
    </row>
    <row r="456" spans="1:11" x14ac:dyDescent="0.25">
      <c r="A456" s="12" t="s">
        <v>20</v>
      </c>
      <c r="B456" s="12">
        <v>10</v>
      </c>
      <c r="C456" s="12">
        <v>4</v>
      </c>
      <c r="D456" s="12">
        <v>2.2999999999999998</v>
      </c>
      <c r="E456" s="2">
        <v>2207648</v>
      </c>
      <c r="F456" s="16">
        <v>0</v>
      </c>
      <c r="G456" s="1">
        <f t="shared" si="187"/>
        <v>0</v>
      </c>
      <c r="H456" s="23"/>
      <c r="I456" s="22"/>
      <c r="J456" s="23"/>
      <c r="K456" s="23"/>
    </row>
    <row r="457" spans="1:11" x14ac:dyDescent="0.25">
      <c r="A457" s="12" t="s">
        <v>20</v>
      </c>
      <c r="B457" s="12">
        <v>10</v>
      </c>
      <c r="C457" s="12">
        <v>4</v>
      </c>
      <c r="D457" s="12">
        <v>3.1</v>
      </c>
      <c r="E457" s="2">
        <v>1888072</v>
      </c>
      <c r="F457" s="16">
        <v>4700</v>
      </c>
      <c r="G457" s="1">
        <f t="shared" si="187"/>
        <v>2.4893118482769727E-3</v>
      </c>
      <c r="H457" s="23">
        <f t="shared" si="185"/>
        <v>1.7496979775205191E-3</v>
      </c>
      <c r="I457" s="22" t="s">
        <v>86</v>
      </c>
      <c r="J457" s="23"/>
      <c r="K457" s="23"/>
    </row>
    <row r="458" spans="1:11" x14ac:dyDescent="0.25">
      <c r="A458" s="12" t="s">
        <v>20</v>
      </c>
      <c r="B458" s="12">
        <v>10</v>
      </c>
      <c r="C458" s="12">
        <v>4</v>
      </c>
      <c r="D458" s="12">
        <v>3.2</v>
      </c>
      <c r="E458" s="2">
        <v>1752267</v>
      </c>
      <c r="F458" s="16">
        <v>1221</v>
      </c>
      <c r="G458" s="1">
        <f t="shared" si="187"/>
        <v>6.9681161603796682E-4</v>
      </c>
      <c r="H458" s="23"/>
      <c r="I458" s="22"/>
      <c r="J458" s="23"/>
      <c r="K458" s="23"/>
    </row>
    <row r="459" spans="1:11" x14ac:dyDescent="0.25">
      <c r="A459" s="12" t="s">
        <v>20</v>
      </c>
      <c r="B459" s="12">
        <v>10</v>
      </c>
      <c r="C459" s="12">
        <v>4</v>
      </c>
      <c r="D459" s="12">
        <v>3.3</v>
      </c>
      <c r="E459" s="2">
        <v>1821175</v>
      </c>
      <c r="F459" s="16">
        <v>3635</v>
      </c>
      <c r="G459" s="1">
        <f t="shared" si="187"/>
        <v>1.995964144027894E-3</v>
      </c>
      <c r="H459" s="23"/>
      <c r="I459" s="22"/>
      <c r="J459" s="23"/>
      <c r="K459" s="23"/>
    </row>
    <row r="460" spans="1:11" x14ac:dyDescent="0.25">
      <c r="A460" s="12" t="s">
        <v>59</v>
      </c>
      <c r="B460" s="12">
        <v>25</v>
      </c>
      <c r="C460" s="12">
        <v>4</v>
      </c>
      <c r="D460" s="12">
        <v>1.1000000000000001</v>
      </c>
      <c r="E460" s="2">
        <v>1714720</v>
      </c>
      <c r="F460" s="16">
        <v>22471</v>
      </c>
      <c r="G460" s="1">
        <f t="shared" si="187"/>
        <v>1.3104763459923487E-2</v>
      </c>
      <c r="H460" s="23">
        <f t="shared" si="185"/>
        <v>1.478300503566702E-2</v>
      </c>
      <c r="I460" s="22" t="s">
        <v>87</v>
      </c>
      <c r="J460" s="23">
        <f t="shared" ref="J460" si="189">AVERAGE(G460:G468)</f>
        <v>1.0170597354733808E-2</v>
      </c>
      <c r="K460" s="23">
        <f>AVERAGE(G460:G486)</f>
        <v>1.8075629076209392E-2</v>
      </c>
    </row>
    <row r="461" spans="1:11" x14ac:dyDescent="0.25">
      <c r="A461" s="12" t="s">
        <v>59</v>
      </c>
      <c r="B461" s="12">
        <v>25</v>
      </c>
      <c r="C461" s="12">
        <v>4</v>
      </c>
      <c r="D461" s="12">
        <v>1.2</v>
      </c>
      <c r="E461" s="2">
        <v>1958180</v>
      </c>
      <c r="F461" s="16">
        <v>31037</v>
      </c>
      <c r="G461" s="1">
        <f t="shared" si="187"/>
        <v>1.5849921866222718E-2</v>
      </c>
      <c r="H461" s="23"/>
      <c r="I461" s="22"/>
      <c r="J461" s="23"/>
      <c r="K461" s="23"/>
    </row>
    <row r="462" spans="1:11" x14ac:dyDescent="0.25">
      <c r="A462" s="12" t="s">
        <v>59</v>
      </c>
      <c r="B462" s="12">
        <v>25</v>
      </c>
      <c r="C462" s="12">
        <v>4</v>
      </c>
      <c r="D462" s="12">
        <v>1.3</v>
      </c>
      <c r="E462" s="2">
        <v>1790130</v>
      </c>
      <c r="F462" s="16">
        <v>27252</v>
      </c>
      <c r="G462" s="1">
        <f t="shared" si="187"/>
        <v>1.5223475390055471E-2</v>
      </c>
      <c r="H462" s="23"/>
      <c r="I462" s="22"/>
      <c r="J462" s="23"/>
      <c r="K462" s="23"/>
    </row>
    <row r="463" spans="1:11" x14ac:dyDescent="0.25">
      <c r="A463" s="12" t="s">
        <v>59</v>
      </c>
      <c r="B463" s="12">
        <v>25</v>
      </c>
      <c r="C463" s="12">
        <v>4</v>
      </c>
      <c r="D463" s="12">
        <v>2.1</v>
      </c>
      <c r="E463" s="2">
        <v>988066</v>
      </c>
      <c r="F463" s="16">
        <v>8525</v>
      </c>
      <c r="G463" s="1">
        <f t="shared" si="187"/>
        <v>8.6279661480103548E-3</v>
      </c>
      <c r="H463" s="23">
        <f t="shared" si="185"/>
        <v>1.2346023753439834E-2</v>
      </c>
      <c r="I463" s="22" t="s">
        <v>87</v>
      </c>
      <c r="J463" s="23"/>
      <c r="K463" s="23"/>
    </row>
    <row r="464" spans="1:11" x14ac:dyDescent="0.25">
      <c r="A464" s="12" t="s">
        <v>59</v>
      </c>
      <c r="B464" s="12">
        <v>25</v>
      </c>
      <c r="C464" s="12">
        <v>4</v>
      </c>
      <c r="D464" s="12">
        <v>2.2000000000000002</v>
      </c>
      <c r="E464" s="2">
        <v>1372612</v>
      </c>
      <c r="F464" s="16">
        <v>21066</v>
      </c>
      <c r="G464" s="1">
        <f t="shared" si="187"/>
        <v>1.5347381488723688E-2</v>
      </c>
      <c r="H464" s="23"/>
      <c r="I464" s="22"/>
      <c r="J464" s="23"/>
      <c r="K464" s="23"/>
    </row>
    <row r="465" spans="1:11" x14ac:dyDescent="0.25">
      <c r="A465" s="12" t="s">
        <v>59</v>
      </c>
      <c r="B465" s="12">
        <v>25</v>
      </c>
      <c r="C465" s="12">
        <v>4</v>
      </c>
      <c r="D465" s="12">
        <v>2.2999999999999998</v>
      </c>
      <c r="E465" s="2">
        <v>969787</v>
      </c>
      <c r="F465" s="16">
        <f>9287+2240</f>
        <v>11527</v>
      </c>
      <c r="G465" s="1">
        <f t="shared" si="187"/>
        <v>1.188611519849204E-2</v>
      </c>
      <c r="H465" s="23"/>
      <c r="I465" s="22"/>
      <c r="J465" s="23"/>
      <c r="K465" s="23"/>
    </row>
    <row r="466" spans="1:11" x14ac:dyDescent="0.25">
      <c r="A466" s="12" t="s">
        <v>59</v>
      </c>
      <c r="B466" s="12">
        <v>25</v>
      </c>
      <c r="C466" s="12">
        <v>4</v>
      </c>
      <c r="D466" s="12">
        <v>3.1</v>
      </c>
      <c r="E466" s="2">
        <v>3055526</v>
      </c>
      <c r="F466" s="16">
        <f>8563+891+270</f>
        <v>9724</v>
      </c>
      <c r="G466" s="1">
        <f t="shared" si="187"/>
        <v>3.182430782785026E-3</v>
      </c>
      <c r="H466" s="23">
        <f t="shared" si="185"/>
        <v>3.800421061572292E-3</v>
      </c>
      <c r="I466" s="22" t="s">
        <v>87</v>
      </c>
      <c r="J466" s="23"/>
      <c r="K466" s="23"/>
    </row>
    <row r="467" spans="1:11" x14ac:dyDescent="0.25">
      <c r="A467" s="12" t="s">
        <v>59</v>
      </c>
      <c r="B467" s="12">
        <v>25</v>
      </c>
      <c r="C467" s="12">
        <v>4</v>
      </c>
      <c r="D467" s="12">
        <v>3.2</v>
      </c>
      <c r="E467" s="2">
        <v>2544688</v>
      </c>
      <c r="F467" s="16">
        <v>12862</v>
      </c>
      <c r="G467" s="1">
        <f t="shared" si="187"/>
        <v>5.0544506831485822E-3</v>
      </c>
      <c r="H467" s="23"/>
      <c r="I467" s="22"/>
      <c r="J467" s="23"/>
      <c r="K467" s="23"/>
    </row>
    <row r="468" spans="1:11" x14ac:dyDescent="0.25">
      <c r="A468" s="12" t="s">
        <v>59</v>
      </c>
      <c r="B468" s="12">
        <v>25</v>
      </c>
      <c r="C468" s="12">
        <v>4</v>
      </c>
      <c r="D468" s="12">
        <v>3.3</v>
      </c>
      <c r="E468" s="2">
        <v>2405741</v>
      </c>
      <c r="F468" s="16">
        <f>1654+4344+1572+270</f>
        <v>7840</v>
      </c>
      <c r="G468" s="1">
        <f t="shared" si="187"/>
        <v>3.2588711752428879E-3</v>
      </c>
      <c r="H468" s="23"/>
      <c r="I468" s="22"/>
      <c r="J468" s="23"/>
      <c r="K468" s="23"/>
    </row>
    <row r="469" spans="1:11" x14ac:dyDescent="0.25">
      <c r="A469" s="12" t="s">
        <v>60</v>
      </c>
      <c r="B469" s="12">
        <v>25</v>
      </c>
      <c r="C469" s="12">
        <v>4</v>
      </c>
      <c r="D469" s="12">
        <v>1.1000000000000001</v>
      </c>
      <c r="E469" s="2">
        <v>1806262</v>
      </c>
      <c r="F469" s="16">
        <v>7088</v>
      </c>
      <c r="G469" s="1">
        <f t="shared" si="187"/>
        <v>3.9241261788156975E-3</v>
      </c>
      <c r="H469" s="23">
        <f t="shared" si="185"/>
        <v>1.2215877459479235E-3</v>
      </c>
      <c r="I469" s="22" t="s">
        <v>86</v>
      </c>
      <c r="J469" s="23">
        <f t="shared" ref="J469" si="190">AVERAGE(G469:G477)</f>
        <v>6.3231468782720514E-3</v>
      </c>
      <c r="K469" s="23"/>
    </row>
    <row r="470" spans="1:11" x14ac:dyDescent="0.25">
      <c r="A470" s="12" t="s">
        <v>60</v>
      </c>
      <c r="B470" s="12">
        <v>25</v>
      </c>
      <c r="C470" s="12">
        <v>4</v>
      </c>
      <c r="D470" s="12">
        <v>1.2</v>
      </c>
      <c r="E470" s="2">
        <v>2105137</v>
      </c>
      <c r="F470" s="16">
        <v>208</v>
      </c>
      <c r="G470" s="1">
        <f t="shared" si="187"/>
        <v>9.8805920944812611E-5</v>
      </c>
      <c r="H470" s="23"/>
      <c r="I470" s="22"/>
      <c r="J470" s="23"/>
      <c r="K470" s="23"/>
    </row>
    <row r="471" spans="1:11" x14ac:dyDescent="0.25">
      <c r="A471" s="12" t="s">
        <v>60</v>
      </c>
      <c r="B471" s="12">
        <v>25</v>
      </c>
      <c r="C471" s="12">
        <v>4</v>
      </c>
      <c r="D471" s="12">
        <v>1.3</v>
      </c>
      <c r="E471" s="2">
        <v>2061156</v>
      </c>
      <c r="F471" s="16">
        <v>0</v>
      </c>
      <c r="G471" s="1">
        <f t="shared" si="187"/>
        <v>0</v>
      </c>
      <c r="H471" s="23"/>
      <c r="I471" s="22"/>
      <c r="J471" s="23"/>
      <c r="K471" s="23"/>
    </row>
    <row r="472" spans="1:11" x14ac:dyDescent="0.25">
      <c r="A472" s="12" t="s">
        <v>60</v>
      </c>
      <c r="B472" s="12">
        <v>25</v>
      </c>
      <c r="C472" s="12">
        <v>4</v>
      </c>
      <c r="D472" s="12">
        <v>2.1</v>
      </c>
      <c r="E472" s="2">
        <v>727729</v>
      </c>
      <c r="F472" s="16">
        <f>6661+955</f>
        <v>7616</v>
      </c>
      <c r="G472" s="1">
        <f t="shared" si="187"/>
        <v>1.0465434248188544E-2</v>
      </c>
      <c r="H472" s="23">
        <f t="shared" si="185"/>
        <v>1.0473399371725046E-2</v>
      </c>
      <c r="I472" s="22" t="s">
        <v>87</v>
      </c>
      <c r="J472" s="23"/>
      <c r="K472" s="23"/>
    </row>
    <row r="473" spans="1:11" x14ac:dyDescent="0.25">
      <c r="A473" s="12" t="s">
        <v>60</v>
      </c>
      <c r="B473" s="12">
        <v>25</v>
      </c>
      <c r="C473" s="12">
        <v>4</v>
      </c>
      <c r="D473" s="12">
        <v>2.2000000000000002</v>
      </c>
      <c r="E473" s="2">
        <v>802959</v>
      </c>
      <c r="F473" s="16">
        <f>7542+503</f>
        <v>8045</v>
      </c>
      <c r="G473" s="1">
        <f t="shared" si="187"/>
        <v>1.0019191515382478E-2</v>
      </c>
      <c r="H473" s="23"/>
      <c r="I473" s="22"/>
      <c r="J473" s="23"/>
      <c r="K473" s="23"/>
    </row>
    <row r="474" spans="1:11" x14ac:dyDescent="0.25">
      <c r="A474" s="12" t="s">
        <v>60</v>
      </c>
      <c r="B474" s="12">
        <v>25</v>
      </c>
      <c r="C474" s="12">
        <v>4</v>
      </c>
      <c r="D474" s="12">
        <v>2.2999999999999998</v>
      </c>
      <c r="E474" s="2">
        <v>794727</v>
      </c>
      <c r="F474" s="16">
        <v>8694</v>
      </c>
      <c r="G474" s="1">
        <f t="shared" si="187"/>
        <v>1.0939605675911351E-2</v>
      </c>
      <c r="H474" s="23"/>
      <c r="I474" s="22"/>
      <c r="J474" s="23"/>
      <c r="K474" s="23"/>
    </row>
    <row r="475" spans="1:11" x14ac:dyDescent="0.25">
      <c r="A475" s="12" t="s">
        <v>60</v>
      </c>
      <c r="B475" s="12">
        <v>25</v>
      </c>
      <c r="C475" s="12">
        <v>4</v>
      </c>
      <c r="D475" s="12">
        <v>3.1</v>
      </c>
      <c r="E475" s="2">
        <v>172244</v>
      </c>
      <c r="F475" s="16">
        <v>0</v>
      </c>
      <c r="G475" s="1">
        <f t="shared" si="187"/>
        <v>0</v>
      </c>
      <c r="H475" s="23">
        <f t="shared" si="185"/>
        <v>1.0154526609495699E-2</v>
      </c>
      <c r="I475" s="22" t="s">
        <v>87</v>
      </c>
      <c r="J475" s="23"/>
      <c r="K475" s="23"/>
    </row>
    <row r="476" spans="1:11" x14ac:dyDescent="0.25">
      <c r="A476" s="12" t="s">
        <v>60</v>
      </c>
      <c r="B476" s="12">
        <v>25</v>
      </c>
      <c r="C476" s="12">
        <v>4</v>
      </c>
      <c r="D476" s="12">
        <v>3.2</v>
      </c>
      <c r="E476" s="2">
        <v>1561169</v>
      </c>
      <c r="F476" s="16">
        <v>15972</v>
      </c>
      <c r="G476" s="1">
        <f t="shared" si="187"/>
        <v>1.0230795000413151E-2</v>
      </c>
      <c r="H476" s="23"/>
      <c r="I476" s="22"/>
      <c r="J476" s="23"/>
      <c r="K476" s="23"/>
    </row>
    <row r="477" spans="1:11" x14ac:dyDescent="0.25">
      <c r="A477" s="12" t="s">
        <v>60</v>
      </c>
      <c r="B477" s="12">
        <v>25</v>
      </c>
      <c r="C477" s="12">
        <v>4</v>
      </c>
      <c r="D477" s="12">
        <v>3.3</v>
      </c>
      <c r="E477" s="2">
        <v>1515089</v>
      </c>
      <c r="F477" s="16">
        <f>14561+2454</f>
        <v>17015</v>
      </c>
      <c r="G477" s="1">
        <f t="shared" si="187"/>
        <v>1.1230363364792431E-2</v>
      </c>
      <c r="H477" s="23"/>
      <c r="I477" s="22"/>
      <c r="J477" s="23"/>
      <c r="K477" s="23"/>
    </row>
    <row r="478" spans="1:11" x14ac:dyDescent="0.25">
      <c r="A478" s="12" t="s">
        <v>58</v>
      </c>
      <c r="B478" s="12">
        <v>25</v>
      </c>
      <c r="C478" s="12">
        <v>4</v>
      </c>
      <c r="D478" s="12">
        <v>1.1000000000000001</v>
      </c>
      <c r="E478" s="2">
        <v>2766728</v>
      </c>
      <c r="F478" s="16">
        <v>0</v>
      </c>
      <c r="G478" s="1">
        <f t="shared" si="187"/>
        <v>0</v>
      </c>
      <c r="H478" s="23">
        <f t="shared" si="185"/>
        <v>0</v>
      </c>
      <c r="I478" s="22" t="s">
        <v>86</v>
      </c>
      <c r="J478" s="23">
        <f t="shared" ref="J478" si="191">AVERAGE(G478:G486)</f>
        <v>3.7733142995622311E-2</v>
      </c>
      <c r="K478" s="23"/>
    </row>
    <row r="479" spans="1:11" x14ac:dyDescent="0.25">
      <c r="A479" s="12" t="s">
        <v>58</v>
      </c>
      <c r="B479" s="12">
        <v>25</v>
      </c>
      <c r="C479" s="12">
        <v>4</v>
      </c>
      <c r="D479" s="12">
        <v>1.2</v>
      </c>
      <c r="E479" s="2">
        <v>1209970</v>
      </c>
      <c r="F479" s="16">
        <v>0</v>
      </c>
      <c r="G479" s="1">
        <f t="shared" si="187"/>
        <v>0</v>
      </c>
      <c r="H479" s="23"/>
      <c r="I479" s="22"/>
      <c r="J479" s="23"/>
      <c r="K479" s="23"/>
    </row>
    <row r="480" spans="1:11" x14ac:dyDescent="0.25">
      <c r="A480" s="12" t="s">
        <v>58</v>
      </c>
      <c r="B480" s="12">
        <v>25</v>
      </c>
      <c r="C480" s="12">
        <v>4</v>
      </c>
      <c r="D480" s="12">
        <v>1.3</v>
      </c>
      <c r="E480" s="2">
        <v>1875541</v>
      </c>
      <c r="F480" s="16">
        <v>0</v>
      </c>
      <c r="G480" s="1">
        <f t="shared" si="187"/>
        <v>0</v>
      </c>
      <c r="H480" s="23"/>
      <c r="I480" s="22"/>
      <c r="J480" s="23"/>
      <c r="K480" s="23"/>
    </row>
    <row r="481" spans="1:11" x14ac:dyDescent="0.25">
      <c r="A481" s="12" t="s">
        <v>58</v>
      </c>
      <c r="B481" s="12">
        <v>25</v>
      </c>
      <c r="C481" s="12">
        <v>4</v>
      </c>
      <c r="D481" s="12">
        <v>2.1</v>
      </c>
      <c r="E481" s="2">
        <v>2121717</v>
      </c>
      <c r="F481" s="16">
        <v>154817</v>
      </c>
      <c r="G481" s="1">
        <f t="shared" si="187"/>
        <v>7.2967789766495719E-2</v>
      </c>
      <c r="H481" s="23">
        <f t="shared" si="185"/>
        <v>3.6802561572235604E-2</v>
      </c>
      <c r="I481" s="22" t="s">
        <v>87</v>
      </c>
      <c r="J481" s="23"/>
      <c r="K481" s="23"/>
    </row>
    <row r="482" spans="1:11" x14ac:dyDescent="0.25">
      <c r="A482" s="12" t="s">
        <v>58</v>
      </c>
      <c r="B482" s="12">
        <v>25</v>
      </c>
      <c r="C482" s="12">
        <v>4</v>
      </c>
      <c r="D482" s="12">
        <v>2.2000000000000002</v>
      </c>
      <c r="E482" s="2">
        <v>2038856</v>
      </c>
      <c r="F482" s="16">
        <v>49099</v>
      </c>
      <c r="G482" s="1">
        <f t="shared" si="187"/>
        <v>2.4081641861906873E-2</v>
      </c>
      <c r="H482" s="23"/>
      <c r="I482" s="22"/>
      <c r="J482" s="23"/>
      <c r="K482" s="23"/>
    </row>
    <row r="483" spans="1:11" x14ac:dyDescent="0.25">
      <c r="A483" s="12" t="s">
        <v>58</v>
      </c>
      <c r="B483" s="12">
        <v>25</v>
      </c>
      <c r="C483" s="12">
        <v>4</v>
      </c>
      <c r="D483" s="12">
        <v>2.2999999999999998</v>
      </c>
      <c r="E483" s="2">
        <v>2775792</v>
      </c>
      <c r="F483" s="16">
        <v>51360</v>
      </c>
      <c r="G483" s="1">
        <f t="shared" si="187"/>
        <v>1.8502827301181069E-2</v>
      </c>
      <c r="H483" s="23"/>
      <c r="I483" s="22"/>
      <c r="J483" s="23"/>
      <c r="K483" s="23"/>
    </row>
    <row r="484" spans="1:11" x14ac:dyDescent="0.25">
      <c r="A484" s="12" t="s">
        <v>58</v>
      </c>
      <c r="B484" s="12">
        <v>25</v>
      </c>
      <c r="C484" s="12">
        <v>4</v>
      </c>
      <c r="D484" s="12">
        <v>3.1</v>
      </c>
      <c r="E484" s="2">
        <v>1839303</v>
      </c>
      <c r="F484" s="16">
        <f>111665+6775+26897+3499+6652+10644+14566+2713</f>
        <v>183411</v>
      </c>
      <c r="G484" s="1">
        <f t="shared" si="187"/>
        <v>9.9717664789325089E-2</v>
      </c>
      <c r="H484" s="23">
        <f t="shared" si="185"/>
        <v>7.5598576209617255E-2</v>
      </c>
      <c r="I484" s="22" t="s">
        <v>87</v>
      </c>
      <c r="J484" s="23"/>
      <c r="K484" s="23"/>
    </row>
    <row r="485" spans="1:11" x14ac:dyDescent="0.25">
      <c r="A485" s="12" t="s">
        <v>58</v>
      </c>
      <c r="B485" s="12">
        <v>25</v>
      </c>
      <c r="C485" s="12">
        <v>4</v>
      </c>
      <c r="D485" s="12">
        <v>3.2</v>
      </c>
      <c r="E485" s="2">
        <v>1723181</v>
      </c>
      <c r="F485" s="16">
        <f>94484+2059</f>
        <v>96543</v>
      </c>
      <c r="G485" s="1">
        <f t="shared" si="187"/>
        <v>5.6026035570262207E-2</v>
      </c>
      <c r="H485" s="23"/>
      <c r="I485" s="22"/>
      <c r="J485" s="23"/>
      <c r="K485" s="23"/>
    </row>
    <row r="486" spans="1:11" x14ac:dyDescent="0.25">
      <c r="A486" s="12" t="s">
        <v>58</v>
      </c>
      <c r="B486" s="12">
        <v>25</v>
      </c>
      <c r="C486" s="12">
        <v>4</v>
      </c>
      <c r="D486" s="12">
        <v>3.3</v>
      </c>
      <c r="E486" s="2">
        <v>1457637</v>
      </c>
      <c r="F486" s="16">
        <f>65551+25411+8598</f>
        <v>99560</v>
      </c>
      <c r="G486" s="1">
        <f t="shared" si="187"/>
        <v>6.8302327671429852E-2</v>
      </c>
      <c r="H486" s="23"/>
      <c r="I486" s="22"/>
      <c r="J486" s="23"/>
      <c r="K486" s="23"/>
    </row>
    <row r="487" spans="1:11" x14ac:dyDescent="0.25">
      <c r="A487" s="12" t="s">
        <v>45</v>
      </c>
      <c r="B487" s="12">
        <v>35</v>
      </c>
      <c r="C487" s="12">
        <v>4</v>
      </c>
      <c r="D487" s="12">
        <v>1.1000000000000001</v>
      </c>
      <c r="E487" s="2">
        <v>1407452</v>
      </c>
      <c r="F487" s="16">
        <v>0</v>
      </c>
      <c r="G487" s="1">
        <f t="shared" si="187"/>
        <v>0</v>
      </c>
      <c r="H487" s="23">
        <f t="shared" si="185"/>
        <v>1.0293367893258466E-4</v>
      </c>
      <c r="I487" s="22" t="s">
        <v>86</v>
      </c>
      <c r="J487" s="23">
        <f t="shared" ref="J487" si="192">AVERAGE(G487:G495)</f>
        <v>3.6227535022488244E-3</v>
      </c>
      <c r="K487" s="23">
        <f>AVERAGE(G487:G513)</f>
        <v>2.1948159963856545E-2</v>
      </c>
    </row>
    <row r="488" spans="1:11" x14ac:dyDescent="0.25">
      <c r="A488" s="12" t="s">
        <v>45</v>
      </c>
      <c r="B488" s="12">
        <v>35</v>
      </c>
      <c r="C488" s="12">
        <v>4</v>
      </c>
      <c r="D488" s="12">
        <v>1.2</v>
      </c>
      <c r="E488" s="2">
        <v>1434288</v>
      </c>
      <c r="F488" s="16">
        <v>0</v>
      </c>
      <c r="G488" s="1">
        <f t="shared" si="187"/>
        <v>0</v>
      </c>
      <c r="H488" s="23"/>
      <c r="I488" s="22"/>
      <c r="J488" s="23"/>
      <c r="K488" s="23"/>
    </row>
    <row r="489" spans="1:11" x14ac:dyDescent="0.25">
      <c r="A489" s="12" t="s">
        <v>45</v>
      </c>
      <c r="B489" s="12">
        <v>35</v>
      </c>
      <c r="C489" s="12">
        <v>4</v>
      </c>
      <c r="D489" s="12">
        <v>1.3</v>
      </c>
      <c r="E489" s="2">
        <v>1500862</v>
      </c>
      <c r="F489" s="16">
        <v>447</v>
      </c>
      <c r="G489" s="1">
        <f t="shared" si="187"/>
        <v>2.9782884768886147E-4</v>
      </c>
      <c r="H489" s="23"/>
      <c r="I489" s="22"/>
      <c r="J489" s="23"/>
      <c r="K489" s="23"/>
    </row>
    <row r="490" spans="1:11" x14ac:dyDescent="0.25">
      <c r="A490" s="12" t="s">
        <v>45</v>
      </c>
      <c r="B490" s="12">
        <v>35</v>
      </c>
      <c r="C490" s="12">
        <v>4</v>
      </c>
      <c r="D490" s="12">
        <v>2.1</v>
      </c>
      <c r="E490" s="2">
        <v>1472815</v>
      </c>
      <c r="F490" s="16">
        <v>9529</v>
      </c>
      <c r="G490" s="1">
        <f t="shared" si="187"/>
        <v>6.4699232422266205E-3</v>
      </c>
      <c r="H490" s="23">
        <f t="shared" si="185"/>
        <v>9.3985630301734163E-3</v>
      </c>
      <c r="I490" s="22" t="s">
        <v>87</v>
      </c>
      <c r="J490" s="23"/>
      <c r="K490" s="23"/>
    </row>
    <row r="491" spans="1:11" x14ac:dyDescent="0.25">
      <c r="A491" s="12" t="s">
        <v>45</v>
      </c>
      <c r="B491" s="12">
        <v>35</v>
      </c>
      <c r="C491" s="12">
        <v>4</v>
      </c>
      <c r="D491" s="12">
        <v>2.2000000000000002</v>
      </c>
      <c r="E491" s="2">
        <v>1510945</v>
      </c>
      <c r="F491" s="16">
        <f>9286+936+9509</f>
        <v>19731</v>
      </c>
      <c r="G491" s="1">
        <f t="shared" si="187"/>
        <v>1.3058714910205202E-2</v>
      </c>
      <c r="H491" s="23"/>
      <c r="I491" s="22"/>
      <c r="J491" s="23"/>
      <c r="K491" s="23"/>
    </row>
    <row r="492" spans="1:11" x14ac:dyDescent="0.25">
      <c r="A492" s="12" t="s">
        <v>45</v>
      </c>
      <c r="B492" s="12">
        <v>35</v>
      </c>
      <c r="C492" s="12">
        <v>4</v>
      </c>
      <c r="D492" s="12">
        <v>2.2999999999999998</v>
      </c>
      <c r="E492" s="2">
        <v>1491073</v>
      </c>
      <c r="F492" s="16">
        <v>12797</v>
      </c>
      <c r="G492" s="1">
        <f t="shared" si="187"/>
        <v>8.5824101167414346E-3</v>
      </c>
      <c r="H492" s="23"/>
      <c r="I492" s="22"/>
      <c r="J492" s="23"/>
      <c r="K492" s="23"/>
    </row>
    <row r="493" spans="1:11" x14ac:dyDescent="0.25">
      <c r="A493" s="12" t="s">
        <v>45</v>
      </c>
      <c r="B493" s="12">
        <v>35</v>
      </c>
      <c r="C493" s="12">
        <v>4</v>
      </c>
      <c r="D493" s="12">
        <v>3.1</v>
      </c>
      <c r="E493" s="2">
        <v>752134</v>
      </c>
      <c r="F493" s="16">
        <f>589+859</f>
        <v>1448</v>
      </c>
      <c r="G493" s="1">
        <f t="shared" si="187"/>
        <v>1.9251888626228837E-3</v>
      </c>
      <c r="H493" s="23">
        <f t="shared" si="185"/>
        <v>1.5319587152270479E-3</v>
      </c>
      <c r="I493" s="22" t="s">
        <v>87</v>
      </c>
      <c r="J493" s="23"/>
      <c r="K493" s="23"/>
    </row>
    <row r="494" spans="1:11" x14ac:dyDescent="0.25">
      <c r="A494" s="12" t="s">
        <v>45</v>
      </c>
      <c r="B494" s="12">
        <v>35</v>
      </c>
      <c r="C494" s="12">
        <v>4</v>
      </c>
      <c r="D494" s="12">
        <v>3.2</v>
      </c>
      <c r="E494" s="2">
        <v>1055174</v>
      </c>
      <c r="F494" s="16">
        <f>2002+394</f>
        <v>2396</v>
      </c>
      <c r="G494" s="1">
        <f t="shared" si="187"/>
        <v>2.270715540754416E-3</v>
      </c>
      <c r="H494" s="23"/>
      <c r="I494" s="22"/>
      <c r="J494" s="23"/>
      <c r="K494" s="23"/>
    </row>
    <row r="495" spans="1:11" x14ac:dyDescent="0.25">
      <c r="A495" s="12" t="s">
        <v>45</v>
      </c>
      <c r="B495" s="12">
        <v>35</v>
      </c>
      <c r="C495" s="12">
        <v>4</v>
      </c>
      <c r="D495" s="12">
        <v>3.3</v>
      </c>
      <c r="E495" s="2">
        <v>701898</v>
      </c>
      <c r="F495" s="16">
        <v>0</v>
      </c>
      <c r="G495" s="1">
        <f t="shared" si="187"/>
        <v>0</v>
      </c>
      <c r="H495" s="23"/>
      <c r="I495" s="22"/>
      <c r="J495" s="23"/>
      <c r="K495" s="23"/>
    </row>
    <row r="496" spans="1:11" x14ac:dyDescent="0.25">
      <c r="A496" s="12" t="s">
        <v>44</v>
      </c>
      <c r="B496" s="12">
        <v>35</v>
      </c>
      <c r="C496" s="12">
        <v>4</v>
      </c>
      <c r="D496" s="12">
        <v>1.1000000000000001</v>
      </c>
      <c r="E496" s="2">
        <v>3055090</v>
      </c>
      <c r="F496" s="16">
        <v>0</v>
      </c>
      <c r="G496" s="1">
        <f t="shared" si="187"/>
        <v>0</v>
      </c>
      <c r="H496" s="23">
        <f t="shared" si="185"/>
        <v>7.1890010837953567E-4</v>
      </c>
      <c r="I496" s="22" t="s">
        <v>86</v>
      </c>
      <c r="J496" s="23">
        <f t="shared" ref="J496" si="193">AVERAGE(G496:G504)</f>
        <v>7.8818586906195861E-3</v>
      </c>
      <c r="K496" s="23"/>
    </row>
    <row r="497" spans="1:11" x14ac:dyDescent="0.25">
      <c r="A497" s="12" t="s">
        <v>44</v>
      </c>
      <c r="B497" s="12">
        <v>35</v>
      </c>
      <c r="C497" s="12">
        <v>4</v>
      </c>
      <c r="D497" s="12">
        <v>1.2</v>
      </c>
      <c r="E497" s="2">
        <v>2607325</v>
      </c>
      <c r="F497" s="16">
        <v>4302</v>
      </c>
      <c r="G497" s="1">
        <f t="shared" si="187"/>
        <v>1.6499669201192793E-3</v>
      </c>
      <c r="H497" s="23"/>
      <c r="I497" s="22"/>
      <c r="J497" s="23"/>
      <c r="K497" s="23"/>
    </row>
    <row r="498" spans="1:11" x14ac:dyDescent="0.25">
      <c r="A498" s="12" t="s">
        <v>44</v>
      </c>
      <c r="B498" s="12">
        <v>35</v>
      </c>
      <c r="C498" s="12">
        <v>4</v>
      </c>
      <c r="D498" s="12">
        <v>1.3</v>
      </c>
      <c r="E498" s="2">
        <v>1775336</v>
      </c>
      <c r="F498" s="16">
        <v>1045</v>
      </c>
      <c r="G498" s="1">
        <f t="shared" si="187"/>
        <v>5.8862097090353605E-4</v>
      </c>
      <c r="H498" s="23"/>
      <c r="I498" s="22"/>
      <c r="J498" s="23"/>
      <c r="K498" s="23"/>
    </row>
    <row r="499" spans="1:11" x14ac:dyDescent="0.25">
      <c r="A499" s="12" t="s">
        <v>44</v>
      </c>
      <c r="B499" s="12">
        <v>35</v>
      </c>
      <c r="C499" s="12">
        <v>4</v>
      </c>
      <c r="D499" s="12">
        <v>2.1</v>
      </c>
      <c r="E499" s="2">
        <v>1953728</v>
      </c>
      <c r="F499" s="16">
        <f>1352+17977+1334+1245</f>
        <v>21908</v>
      </c>
      <c r="G499" s="1">
        <f t="shared" si="187"/>
        <v>1.1213434009237725E-2</v>
      </c>
      <c r="H499" s="23">
        <f t="shared" ref="H499:H562" si="194">(SUM(F499:F501))/SUM(E499:E501)</f>
        <v>9.3908884701270224E-3</v>
      </c>
      <c r="I499" s="22" t="s">
        <v>87</v>
      </c>
      <c r="J499" s="23"/>
      <c r="K499" s="23"/>
    </row>
    <row r="500" spans="1:11" x14ac:dyDescent="0.25">
      <c r="A500" s="12" t="s">
        <v>44</v>
      </c>
      <c r="B500" s="12">
        <v>35</v>
      </c>
      <c r="C500" s="12">
        <v>4</v>
      </c>
      <c r="D500" s="12">
        <v>2.2000000000000002</v>
      </c>
      <c r="E500" s="2">
        <v>2020373</v>
      </c>
      <c r="F500" s="16">
        <f>10371+885+750+607+1651+1062+144+639</f>
        <v>16109</v>
      </c>
      <c r="G500" s="1">
        <f t="shared" si="187"/>
        <v>7.9732801814318445E-3</v>
      </c>
      <c r="H500" s="23"/>
      <c r="I500" s="22"/>
      <c r="J500" s="23"/>
      <c r="K500" s="23"/>
    </row>
    <row r="501" spans="1:11" x14ac:dyDescent="0.25">
      <c r="A501" s="12" t="s">
        <v>44</v>
      </c>
      <c r="B501" s="12">
        <v>35</v>
      </c>
      <c r="C501" s="12">
        <v>4</v>
      </c>
      <c r="D501" s="12">
        <v>2.2999999999999998</v>
      </c>
      <c r="E501" s="2">
        <v>1017333</v>
      </c>
      <c r="F501" s="16">
        <f>2135+786+1977+2382+1577</f>
        <v>8857</v>
      </c>
      <c r="G501" s="1">
        <f t="shared" si="187"/>
        <v>8.7060972169387997E-3</v>
      </c>
      <c r="H501" s="23"/>
      <c r="I501" s="22"/>
      <c r="J501" s="23"/>
      <c r="K501" s="23"/>
    </row>
    <row r="502" spans="1:11" x14ac:dyDescent="0.25">
      <c r="A502" s="12" t="s">
        <v>44</v>
      </c>
      <c r="B502" s="12">
        <v>35</v>
      </c>
      <c r="C502" s="12">
        <v>4</v>
      </c>
      <c r="D502" s="12">
        <v>3.1</v>
      </c>
      <c r="E502" s="2">
        <v>636610</v>
      </c>
      <c r="F502" s="16">
        <f>3023+317+455+267</f>
        <v>4062</v>
      </c>
      <c r="G502" s="1">
        <f t="shared" si="187"/>
        <v>6.3806726253122009E-3</v>
      </c>
      <c r="H502" s="23">
        <f t="shared" si="194"/>
        <v>1.4755169123104655E-2</v>
      </c>
      <c r="I502" s="22" t="s">
        <v>87</v>
      </c>
      <c r="J502" s="23"/>
      <c r="K502" s="23"/>
    </row>
    <row r="503" spans="1:11" x14ac:dyDescent="0.25">
      <c r="A503" s="12" t="s">
        <v>44</v>
      </c>
      <c r="B503" s="12">
        <v>35</v>
      </c>
      <c r="C503" s="12">
        <v>4</v>
      </c>
      <c r="D503" s="12">
        <v>3.2</v>
      </c>
      <c r="E503" s="2">
        <v>800365</v>
      </c>
      <c r="F503" s="16">
        <f>4571+794+756+329</f>
        <v>6450</v>
      </c>
      <c r="G503" s="1">
        <f t="shared" si="187"/>
        <v>8.0588231619323682E-3</v>
      </c>
      <c r="H503" s="23"/>
      <c r="I503" s="22"/>
      <c r="J503" s="23"/>
      <c r="K503" s="23"/>
    </row>
    <row r="504" spans="1:11" x14ac:dyDescent="0.25">
      <c r="A504" s="12" t="s">
        <v>44</v>
      </c>
      <c r="B504" s="12">
        <v>35</v>
      </c>
      <c r="C504" s="12">
        <v>4</v>
      </c>
      <c r="D504" s="12">
        <v>3.3</v>
      </c>
      <c r="E504" s="2">
        <v>920775</v>
      </c>
      <c r="F504" s="16">
        <f>1571+1546+2459+7582+1304+9815</f>
        <v>24277</v>
      </c>
      <c r="G504" s="1">
        <f t="shared" si="187"/>
        <v>2.6365833129700523E-2</v>
      </c>
      <c r="H504" s="23"/>
      <c r="I504" s="22"/>
      <c r="J504" s="23"/>
      <c r="K504" s="23"/>
    </row>
    <row r="505" spans="1:11" x14ac:dyDescent="0.25">
      <c r="A505" s="12" t="s">
        <v>43</v>
      </c>
      <c r="B505" s="12">
        <v>35</v>
      </c>
      <c r="C505" s="12">
        <v>4</v>
      </c>
      <c r="D505" s="12">
        <v>1.1000000000000001</v>
      </c>
      <c r="E505" s="2">
        <v>3072442</v>
      </c>
      <c r="F505" s="16">
        <f>21488+536</f>
        <v>22024</v>
      </c>
      <c r="G505" s="1">
        <f t="shared" si="187"/>
        <v>7.168239465545647E-3</v>
      </c>
      <c r="H505" s="23">
        <f t="shared" si="194"/>
        <v>2.1942197344442159E-2</v>
      </c>
      <c r="I505" s="22" t="s">
        <v>86</v>
      </c>
      <c r="J505" s="23">
        <f t="shared" ref="J505" si="195">AVERAGE(G505:G513)</f>
        <v>5.4339867698701229E-2</v>
      </c>
      <c r="K505" s="23"/>
    </row>
    <row r="506" spans="1:11" x14ac:dyDescent="0.25">
      <c r="A506" s="12" t="s">
        <v>43</v>
      </c>
      <c r="B506" s="12">
        <v>35</v>
      </c>
      <c r="C506" s="12">
        <v>4</v>
      </c>
      <c r="D506" s="12">
        <v>1.2</v>
      </c>
      <c r="E506" s="2">
        <v>2688650</v>
      </c>
      <c r="F506" s="16">
        <f>107502+2303+1892</f>
        <v>111697</v>
      </c>
      <c r="G506" s="1">
        <f t="shared" si="187"/>
        <v>4.1543897495025385E-2</v>
      </c>
      <c r="H506" s="23"/>
      <c r="I506" s="22"/>
      <c r="J506" s="23"/>
      <c r="K506" s="23"/>
    </row>
    <row r="507" spans="1:11" x14ac:dyDescent="0.25">
      <c r="A507" s="12" t="s">
        <v>43</v>
      </c>
      <c r="B507" s="12">
        <v>35</v>
      </c>
      <c r="C507" s="12">
        <v>4</v>
      </c>
      <c r="D507" s="12">
        <v>1.3</v>
      </c>
      <c r="E507" s="2">
        <v>2802909</v>
      </c>
      <c r="F507" s="16">
        <f>48542+2070+2006+1574</f>
        <v>54192</v>
      </c>
      <c r="G507" s="1">
        <f t="shared" si="187"/>
        <v>1.9334198862681593E-2</v>
      </c>
      <c r="H507" s="23"/>
      <c r="I507" s="22"/>
      <c r="J507" s="23"/>
      <c r="K507" s="23"/>
    </row>
    <row r="508" spans="1:11" x14ac:dyDescent="0.25">
      <c r="A508" s="12" t="s">
        <v>43</v>
      </c>
      <c r="B508" s="12">
        <v>35</v>
      </c>
      <c r="C508" s="12">
        <v>4</v>
      </c>
      <c r="D508" s="12">
        <v>2.1</v>
      </c>
      <c r="E508" s="2">
        <v>1102406</v>
      </c>
      <c r="F508" s="16">
        <f>117+10854+16922+5908+1266</f>
        <v>35067</v>
      </c>
      <c r="G508" s="1">
        <f t="shared" si="187"/>
        <v>3.1809514824846744E-2</v>
      </c>
      <c r="H508" s="23">
        <f t="shared" si="194"/>
        <v>3.6781577926684149E-2</v>
      </c>
      <c r="I508" s="22" t="s">
        <v>87</v>
      </c>
      <c r="J508" s="23"/>
      <c r="K508" s="23"/>
    </row>
    <row r="509" spans="1:11" x14ac:dyDescent="0.25">
      <c r="A509" s="12" t="s">
        <v>43</v>
      </c>
      <c r="B509" s="12">
        <v>35</v>
      </c>
      <c r="C509" s="12">
        <v>4</v>
      </c>
      <c r="D509" s="12">
        <v>2.2000000000000002</v>
      </c>
      <c r="E509" s="2">
        <v>808514</v>
      </c>
      <c r="F509" s="16">
        <f>29673+3615+840+527+254+459+235</f>
        <v>35603</v>
      </c>
      <c r="G509" s="1">
        <f t="shared" si="187"/>
        <v>4.4035106380347154E-2</v>
      </c>
      <c r="H509" s="23"/>
      <c r="I509" s="22"/>
      <c r="J509" s="23"/>
      <c r="K509" s="23"/>
    </row>
    <row r="510" spans="1:11" x14ac:dyDescent="0.25">
      <c r="A510" s="12" t="s">
        <v>43</v>
      </c>
      <c r="B510" s="12">
        <v>35</v>
      </c>
      <c r="C510" s="12">
        <v>4</v>
      </c>
      <c r="D510" s="12">
        <v>2.2999999999999998</v>
      </c>
      <c r="E510" s="2">
        <v>515213</v>
      </c>
      <c r="F510" s="16">
        <v>18567</v>
      </c>
      <c r="G510" s="1">
        <f t="shared" si="187"/>
        <v>3.6037522345127158E-2</v>
      </c>
      <c r="H510" s="23"/>
      <c r="I510" s="22"/>
      <c r="J510" s="23"/>
      <c r="K510" s="23"/>
    </row>
    <row r="511" spans="1:11" x14ac:dyDescent="0.25">
      <c r="A511" s="12" t="s">
        <v>43</v>
      </c>
      <c r="B511" s="12">
        <v>35</v>
      </c>
      <c r="C511" s="12">
        <v>4</v>
      </c>
      <c r="D511" s="12">
        <v>3.1</v>
      </c>
      <c r="E511" s="2">
        <v>1464475</v>
      </c>
      <c r="F511" s="16">
        <f>74666+1821</f>
        <v>76487</v>
      </c>
      <c r="G511" s="1">
        <f t="shared" si="187"/>
        <v>5.2228272930572389E-2</v>
      </c>
      <c r="H511" s="23">
        <f t="shared" si="194"/>
        <v>0.10237143636095133</v>
      </c>
      <c r="I511" s="22" t="s">
        <v>87</v>
      </c>
      <c r="J511" s="23"/>
      <c r="K511" s="23"/>
    </row>
    <row r="512" spans="1:11" x14ac:dyDescent="0.25">
      <c r="A512" s="12" t="s">
        <v>43</v>
      </c>
      <c r="B512" s="12">
        <v>35</v>
      </c>
      <c r="C512" s="12">
        <v>4</v>
      </c>
      <c r="D512" s="12">
        <v>3.2</v>
      </c>
      <c r="E512" s="2">
        <v>1397310</v>
      </c>
      <c r="F512" s="16">
        <f>233642+5167</f>
        <v>238809</v>
      </c>
      <c r="G512" s="1">
        <f t="shared" si="187"/>
        <v>0.17090624127788392</v>
      </c>
      <c r="H512" s="23"/>
      <c r="I512" s="22"/>
      <c r="J512" s="23"/>
      <c r="K512" s="23"/>
    </row>
    <row r="513" spans="1:11" x14ac:dyDescent="0.25">
      <c r="A513" s="12" t="s">
        <v>43</v>
      </c>
      <c r="B513" s="12">
        <v>35</v>
      </c>
      <c r="C513" s="12">
        <v>4</v>
      </c>
      <c r="D513" s="12">
        <v>3.3</v>
      </c>
      <c r="E513" s="2">
        <v>1363671</v>
      </c>
      <c r="F513" s="16">
        <v>117270</v>
      </c>
      <c r="G513" s="1">
        <f t="shared" si="187"/>
        <v>8.5995815706281065E-2</v>
      </c>
      <c r="H513" s="23"/>
      <c r="I513" s="22"/>
      <c r="J513" s="23"/>
      <c r="K513" s="23"/>
    </row>
    <row r="514" spans="1:11" x14ac:dyDescent="0.25">
      <c r="A514" s="12" t="s">
        <v>34</v>
      </c>
      <c r="B514" s="12">
        <v>45</v>
      </c>
      <c r="C514" s="12">
        <v>4</v>
      </c>
      <c r="D514" s="12">
        <v>1.1000000000000001</v>
      </c>
      <c r="E514" s="2">
        <v>1550758</v>
      </c>
      <c r="F514" s="16">
        <v>3168</v>
      </c>
      <c r="G514" s="1">
        <f t="shared" ref="G514:G577" si="196">F514/E514</f>
        <v>2.0428719374654203E-3</v>
      </c>
      <c r="H514" s="23">
        <f t="shared" si="194"/>
        <v>1.3232526965310659E-3</v>
      </c>
      <c r="I514" s="22" t="s">
        <v>86</v>
      </c>
      <c r="J514" s="23">
        <f t="shared" ref="J514" si="197">AVERAGE(G514:G522)</f>
        <v>3.2582903419221862E-2</v>
      </c>
      <c r="K514" s="23">
        <f>AVERAGE(G514:G540)</f>
        <v>3.0935771538747454E-2</v>
      </c>
    </row>
    <row r="515" spans="1:11" x14ac:dyDescent="0.25">
      <c r="A515" s="12" t="s">
        <v>34</v>
      </c>
      <c r="B515" s="12">
        <v>45</v>
      </c>
      <c r="C515" s="12">
        <v>4</v>
      </c>
      <c r="D515" s="12">
        <v>1.2</v>
      </c>
      <c r="E515" s="2">
        <v>1530403</v>
      </c>
      <c r="F515" s="16">
        <v>2481</v>
      </c>
      <c r="G515" s="1">
        <f t="shared" si="196"/>
        <v>1.6211416208671834E-3</v>
      </c>
      <c r="H515" s="23"/>
      <c r="I515" s="22"/>
      <c r="J515" s="23"/>
      <c r="K515" s="23"/>
    </row>
    <row r="516" spans="1:11" x14ac:dyDescent="0.25">
      <c r="A516" s="12" t="s">
        <v>34</v>
      </c>
      <c r="B516" s="12">
        <v>45</v>
      </c>
      <c r="C516" s="12">
        <v>4</v>
      </c>
      <c r="D516" s="12">
        <v>1.3</v>
      </c>
      <c r="E516" s="2">
        <v>1501486</v>
      </c>
      <c r="F516" s="16">
        <v>415</v>
      </c>
      <c r="G516" s="1">
        <f t="shared" si="196"/>
        <v>2.7639285347981935E-4</v>
      </c>
      <c r="H516" s="23"/>
      <c r="I516" s="22"/>
      <c r="J516" s="23"/>
      <c r="K516" s="23"/>
    </row>
    <row r="517" spans="1:11" x14ac:dyDescent="0.25">
      <c r="A517" s="12" t="s">
        <v>34</v>
      </c>
      <c r="B517" s="12">
        <v>45</v>
      </c>
      <c r="C517" s="12">
        <v>4</v>
      </c>
      <c r="D517" s="12">
        <v>2.1</v>
      </c>
      <c r="E517" s="2">
        <v>1490555</v>
      </c>
      <c r="F517" s="16">
        <v>4411</v>
      </c>
      <c r="G517" s="1">
        <f t="shared" si="196"/>
        <v>2.9593003948193792E-3</v>
      </c>
      <c r="H517" s="23">
        <f t="shared" si="194"/>
        <v>1.230904397792922E-3</v>
      </c>
      <c r="I517" s="22" t="s">
        <v>86</v>
      </c>
      <c r="J517" s="23"/>
      <c r="K517" s="23"/>
    </row>
    <row r="518" spans="1:11" x14ac:dyDescent="0.25">
      <c r="A518" s="12" t="s">
        <v>34</v>
      </c>
      <c r="B518" s="12">
        <v>45</v>
      </c>
      <c r="C518" s="12">
        <v>4</v>
      </c>
      <c r="D518" s="12">
        <v>2.2000000000000002</v>
      </c>
      <c r="E518" s="2">
        <v>1012239</v>
      </c>
      <c r="F518" s="16">
        <v>599</v>
      </c>
      <c r="G518" s="1">
        <f t="shared" si="196"/>
        <v>5.9175748019983426E-4</v>
      </c>
      <c r="H518" s="23"/>
      <c r="I518" s="22"/>
      <c r="J518" s="23"/>
      <c r="K518" s="23"/>
    </row>
    <row r="519" spans="1:11" x14ac:dyDescent="0.25">
      <c r="A519" s="12" t="s">
        <v>34</v>
      </c>
      <c r="B519" s="12">
        <v>45</v>
      </c>
      <c r="C519" s="12">
        <v>4</v>
      </c>
      <c r="D519" s="12">
        <v>2.2999999999999998</v>
      </c>
      <c r="E519" s="2">
        <v>1567384</v>
      </c>
      <c r="F519" s="16">
        <v>0</v>
      </c>
      <c r="G519" s="1">
        <f t="shared" si="196"/>
        <v>0</v>
      </c>
      <c r="H519" s="23"/>
      <c r="I519" s="22"/>
      <c r="J519" s="23"/>
      <c r="K519" s="23"/>
    </row>
    <row r="520" spans="1:11" x14ac:dyDescent="0.25">
      <c r="A520" s="12" t="s">
        <v>34</v>
      </c>
      <c r="B520" s="12">
        <v>45</v>
      </c>
      <c r="C520" s="12">
        <v>4</v>
      </c>
      <c r="D520" s="12">
        <v>3.1</v>
      </c>
      <c r="E520" s="2">
        <v>1958515</v>
      </c>
      <c r="F520" s="16">
        <v>253620</v>
      </c>
      <c r="G520" s="1">
        <f t="shared" si="196"/>
        <v>0.12949607227925239</v>
      </c>
      <c r="H520" s="23">
        <f t="shared" si="194"/>
        <v>9.7877862506841398E-2</v>
      </c>
      <c r="I520" s="22" t="s">
        <v>87</v>
      </c>
      <c r="J520" s="23"/>
      <c r="K520" s="23"/>
    </row>
    <row r="521" spans="1:11" x14ac:dyDescent="0.25">
      <c r="A521" s="12" t="s">
        <v>34</v>
      </c>
      <c r="B521" s="12">
        <v>45</v>
      </c>
      <c r="C521" s="12">
        <v>4</v>
      </c>
      <c r="D521" s="12">
        <v>3.2</v>
      </c>
      <c r="E521" s="2">
        <v>2307741</v>
      </c>
      <c r="F521" s="16">
        <v>210831</v>
      </c>
      <c r="G521" s="1">
        <f t="shared" si="196"/>
        <v>9.1358172342563576E-2</v>
      </c>
      <c r="H521" s="23"/>
      <c r="I521" s="22"/>
      <c r="J521" s="23"/>
      <c r="K521" s="23"/>
    </row>
    <row r="522" spans="1:11" x14ac:dyDescent="0.25">
      <c r="A522" s="12" t="s">
        <v>34</v>
      </c>
      <c r="B522" s="12">
        <v>45</v>
      </c>
      <c r="C522" s="12">
        <v>4</v>
      </c>
      <c r="D522" s="12">
        <v>3.3</v>
      </c>
      <c r="E522" s="2">
        <v>1421547</v>
      </c>
      <c r="F522" s="16">
        <f>46781+45478</f>
        <v>92259</v>
      </c>
      <c r="G522" s="1">
        <f t="shared" si="196"/>
        <v>6.4900421864349189E-2</v>
      </c>
      <c r="H522" s="23"/>
      <c r="I522" s="22"/>
      <c r="J522" s="23"/>
      <c r="K522" s="23"/>
    </row>
    <row r="523" spans="1:11" x14ac:dyDescent="0.25">
      <c r="A523" s="12" t="s">
        <v>35</v>
      </c>
      <c r="B523" s="12">
        <v>45</v>
      </c>
      <c r="C523" s="12">
        <v>4</v>
      </c>
      <c r="D523" s="12">
        <v>1.1000000000000001</v>
      </c>
      <c r="E523" s="2">
        <v>2038596</v>
      </c>
      <c r="F523" s="16">
        <f>194567+5895</f>
        <v>200462</v>
      </c>
      <c r="G523" s="1">
        <f t="shared" si="196"/>
        <v>9.833336276535419E-2</v>
      </c>
      <c r="H523" s="23">
        <f t="shared" si="194"/>
        <v>5.8763343959097582E-2</v>
      </c>
      <c r="I523" s="22" t="s">
        <v>87</v>
      </c>
      <c r="J523" s="23">
        <f t="shared" ref="J523" si="198">AVERAGE(G523:G531)</f>
        <v>4.5012217072910317E-2</v>
      </c>
      <c r="K523" s="23"/>
    </row>
    <row r="524" spans="1:11" x14ac:dyDescent="0.25">
      <c r="A524" s="12" t="s">
        <v>35</v>
      </c>
      <c r="B524" s="12">
        <v>45</v>
      </c>
      <c r="C524" s="12">
        <v>4</v>
      </c>
      <c r="D524" s="12">
        <v>1.2</v>
      </c>
      <c r="E524" s="2">
        <v>2008800</v>
      </c>
      <c r="F524" s="16">
        <v>48885</v>
      </c>
      <c r="G524" s="1">
        <f t="shared" si="196"/>
        <v>2.4335424133811231E-2</v>
      </c>
      <c r="H524" s="23"/>
      <c r="I524" s="22"/>
      <c r="J524" s="23"/>
      <c r="K524" s="23"/>
    </row>
    <row r="525" spans="1:11" x14ac:dyDescent="0.25">
      <c r="A525" s="12" t="s">
        <v>35</v>
      </c>
      <c r="B525" s="12">
        <v>45</v>
      </c>
      <c r="C525" s="12">
        <v>4</v>
      </c>
      <c r="D525" s="12">
        <v>1.3</v>
      </c>
      <c r="E525" s="2">
        <v>2031853</v>
      </c>
      <c r="F525" s="16">
        <v>107890</v>
      </c>
      <c r="G525" s="1">
        <f t="shared" si="196"/>
        <v>5.3099313779097206E-2</v>
      </c>
      <c r="H525" s="23"/>
      <c r="I525" s="22"/>
      <c r="J525" s="23"/>
      <c r="K525" s="23"/>
    </row>
    <row r="526" spans="1:11" x14ac:dyDescent="0.25">
      <c r="A526" s="12" t="s">
        <v>35</v>
      </c>
      <c r="B526" s="12">
        <v>45</v>
      </c>
      <c r="C526" s="12">
        <v>4</v>
      </c>
      <c r="D526" s="12">
        <v>2.1</v>
      </c>
      <c r="E526" s="2">
        <v>695678</v>
      </c>
      <c r="F526" s="16">
        <f>17792+3484</f>
        <v>21276</v>
      </c>
      <c r="G526" s="1">
        <f t="shared" si="196"/>
        <v>3.0583114601870406E-2</v>
      </c>
      <c r="H526" s="23">
        <f t="shared" si="194"/>
        <v>8.4166183099015884E-2</v>
      </c>
      <c r="I526" s="22" t="s">
        <v>87</v>
      </c>
      <c r="J526" s="23"/>
      <c r="K526" s="23"/>
    </row>
    <row r="527" spans="1:11" x14ac:dyDescent="0.25">
      <c r="A527" s="12" t="s">
        <v>35</v>
      </c>
      <c r="B527" s="12">
        <v>45</v>
      </c>
      <c r="C527" s="12">
        <v>4</v>
      </c>
      <c r="D527" s="12">
        <v>2.2000000000000002</v>
      </c>
      <c r="E527" s="2">
        <v>1577060</v>
      </c>
      <c r="F527" s="16">
        <f>46127+113630</f>
        <v>159757</v>
      </c>
      <c r="G527" s="1">
        <f t="shared" si="196"/>
        <v>0.10130052122303526</v>
      </c>
      <c r="H527" s="23"/>
      <c r="I527" s="22"/>
      <c r="J527" s="23"/>
      <c r="K527" s="23"/>
    </row>
    <row r="528" spans="1:11" x14ac:dyDescent="0.25">
      <c r="A528" s="12" t="s">
        <v>35</v>
      </c>
      <c r="B528" s="12">
        <v>45</v>
      </c>
      <c r="C528" s="12">
        <v>4</v>
      </c>
      <c r="D528" s="12">
        <v>2.2999999999999998</v>
      </c>
      <c r="E528" s="2">
        <v>1544377</v>
      </c>
      <c r="F528" s="16">
        <v>140239</v>
      </c>
      <c r="G528" s="1">
        <f t="shared" si="196"/>
        <v>9.0806195637464171E-2</v>
      </c>
      <c r="H528" s="23"/>
      <c r="I528" s="22"/>
      <c r="J528" s="23"/>
      <c r="K528" s="23"/>
    </row>
    <row r="529" spans="1:11" x14ac:dyDescent="0.25">
      <c r="A529" s="12" t="s">
        <v>35</v>
      </c>
      <c r="B529" s="12">
        <v>45</v>
      </c>
      <c r="C529" s="12">
        <v>4</v>
      </c>
      <c r="D529" s="12">
        <v>3.1</v>
      </c>
      <c r="E529" s="2">
        <v>1443906</v>
      </c>
      <c r="F529" s="16">
        <v>8854</v>
      </c>
      <c r="G529" s="1">
        <f t="shared" si="196"/>
        <v>6.1319781204593653E-3</v>
      </c>
      <c r="H529" s="23">
        <f t="shared" si="194"/>
        <v>2.3830645645225171E-3</v>
      </c>
      <c r="I529" s="22" t="s">
        <v>86</v>
      </c>
      <c r="J529" s="23"/>
      <c r="K529" s="23"/>
    </row>
    <row r="530" spans="1:11" x14ac:dyDescent="0.25">
      <c r="A530" s="12" t="s">
        <v>35</v>
      </c>
      <c r="B530" s="12">
        <v>45</v>
      </c>
      <c r="C530" s="12">
        <v>4</v>
      </c>
      <c r="D530" s="12">
        <v>3.2</v>
      </c>
      <c r="E530" s="2">
        <v>1337873</v>
      </c>
      <c r="F530" s="16">
        <v>487</v>
      </c>
      <c r="G530" s="1">
        <f t="shared" si="196"/>
        <v>3.6401063479119466E-4</v>
      </c>
      <c r="H530" s="23"/>
      <c r="I530" s="22"/>
      <c r="J530" s="23"/>
      <c r="K530" s="23"/>
    </row>
    <row r="531" spans="1:11" x14ac:dyDescent="0.25">
      <c r="A531" s="12" t="s">
        <v>35</v>
      </c>
      <c r="B531" s="12">
        <v>45</v>
      </c>
      <c r="C531" s="12">
        <v>4</v>
      </c>
      <c r="D531" s="12">
        <v>3.3</v>
      </c>
      <c r="E531" s="2">
        <v>1217693</v>
      </c>
      <c r="F531" s="16">
        <v>190</v>
      </c>
      <c r="G531" s="1">
        <f t="shared" si="196"/>
        <v>1.5603276030986464E-4</v>
      </c>
      <c r="H531" s="23"/>
      <c r="I531" s="22"/>
      <c r="J531" s="23"/>
      <c r="K531" s="23"/>
    </row>
    <row r="532" spans="1:11" x14ac:dyDescent="0.25">
      <c r="A532" s="12" t="s">
        <v>36</v>
      </c>
      <c r="B532" s="12">
        <v>45</v>
      </c>
      <c r="C532" s="12">
        <v>4</v>
      </c>
      <c r="D532" s="12">
        <v>1.1000000000000001</v>
      </c>
      <c r="E532" s="2">
        <v>1081410</v>
      </c>
      <c r="F532" s="16">
        <v>17764</v>
      </c>
      <c r="G532" s="1">
        <f t="shared" si="196"/>
        <v>1.6426702175862992E-2</v>
      </c>
      <c r="H532" s="23">
        <f t="shared" si="194"/>
        <v>6.2097279353971252E-3</v>
      </c>
      <c r="I532" s="22" t="s">
        <v>86</v>
      </c>
      <c r="J532" s="23">
        <f t="shared" ref="J532" si="199">AVERAGE(G532:G540)</f>
        <v>1.5212194124110175E-2</v>
      </c>
      <c r="K532" s="23"/>
    </row>
    <row r="533" spans="1:11" x14ac:dyDescent="0.25">
      <c r="A533" s="12" t="s">
        <v>36</v>
      </c>
      <c r="B533" s="12">
        <v>45</v>
      </c>
      <c r="C533" s="12">
        <v>4</v>
      </c>
      <c r="D533" s="12">
        <v>1.2</v>
      </c>
      <c r="E533" s="2">
        <v>1326265</v>
      </c>
      <c r="F533" s="16">
        <v>0</v>
      </c>
      <c r="G533" s="1">
        <f t="shared" si="196"/>
        <v>0</v>
      </c>
      <c r="H533" s="23"/>
      <c r="I533" s="22"/>
      <c r="J533" s="23"/>
      <c r="K533" s="23"/>
    </row>
    <row r="534" spans="1:11" x14ac:dyDescent="0.25">
      <c r="A534" s="12" t="s">
        <v>36</v>
      </c>
      <c r="B534" s="12">
        <v>45</v>
      </c>
      <c r="C534" s="12">
        <v>4</v>
      </c>
      <c r="D534" s="12">
        <v>1.3</v>
      </c>
      <c r="E534" s="2">
        <v>1351910</v>
      </c>
      <c r="F534" s="16">
        <v>5582</v>
      </c>
      <c r="G534" s="1">
        <f t="shared" si="196"/>
        <v>4.1289730825276828E-3</v>
      </c>
      <c r="H534" s="23"/>
      <c r="I534" s="22"/>
      <c r="J534" s="23"/>
      <c r="K534" s="23"/>
    </row>
    <row r="535" spans="1:11" x14ac:dyDescent="0.25">
      <c r="A535" s="12" t="s">
        <v>36</v>
      </c>
      <c r="B535" s="12">
        <v>45</v>
      </c>
      <c r="C535" s="12">
        <v>4</v>
      </c>
      <c r="D535" s="12">
        <v>2.1</v>
      </c>
      <c r="E535" s="2">
        <v>685812</v>
      </c>
      <c r="F535" s="16">
        <f>2075+19425+493+1182+1744+1134</f>
        <v>26053</v>
      </c>
      <c r="G535" s="1">
        <f t="shared" si="196"/>
        <v>3.7988544965675726E-2</v>
      </c>
      <c r="H535" s="23">
        <f t="shared" si="194"/>
        <v>2.1916937235456898E-2</v>
      </c>
      <c r="I535" s="22" t="s">
        <v>87</v>
      </c>
      <c r="J535" s="23"/>
      <c r="K535" s="23"/>
    </row>
    <row r="536" spans="1:11" x14ac:dyDescent="0.25">
      <c r="A536" s="12" t="s">
        <v>36</v>
      </c>
      <c r="B536" s="12">
        <v>45</v>
      </c>
      <c r="C536" s="12">
        <v>4</v>
      </c>
      <c r="D536" s="12">
        <v>2.2000000000000002</v>
      </c>
      <c r="E536" s="2">
        <v>694781</v>
      </c>
      <c r="F536" s="16">
        <f>9885+515+311+1727+726+310</f>
        <v>13474</v>
      </c>
      <c r="G536" s="1">
        <f t="shared" si="196"/>
        <v>1.9393161298308387E-2</v>
      </c>
      <c r="H536" s="23"/>
      <c r="I536" s="22"/>
      <c r="J536" s="23"/>
      <c r="K536" s="23"/>
    </row>
    <row r="537" spans="1:11" x14ac:dyDescent="0.25">
      <c r="A537" s="12" t="s">
        <v>36</v>
      </c>
      <c r="B537" s="12">
        <v>45</v>
      </c>
      <c r="C537" s="12">
        <v>4</v>
      </c>
      <c r="D537" s="12">
        <v>2.2999999999999998</v>
      </c>
      <c r="E537" s="2">
        <v>641998</v>
      </c>
      <c r="F537" s="16">
        <f>4457+345</f>
        <v>4802</v>
      </c>
      <c r="G537" s="1">
        <f t="shared" si="196"/>
        <v>7.4797740802930853E-3</v>
      </c>
      <c r="H537" s="23"/>
      <c r="I537" s="22"/>
      <c r="J537" s="23"/>
      <c r="K537" s="23"/>
    </row>
    <row r="538" spans="1:11" x14ac:dyDescent="0.25">
      <c r="A538" s="12" t="s">
        <v>36</v>
      </c>
      <c r="B538" s="12">
        <v>45</v>
      </c>
      <c r="C538" s="12">
        <v>4</v>
      </c>
      <c r="D538" s="12">
        <v>3.1</v>
      </c>
      <c r="E538" s="2">
        <v>768671</v>
      </c>
      <c r="F538" s="16">
        <v>3886</v>
      </c>
      <c r="G538" s="1">
        <f t="shared" si="196"/>
        <v>5.0554788719751366E-3</v>
      </c>
      <c r="H538" s="23">
        <f t="shared" si="194"/>
        <v>1.7889371139494813E-2</v>
      </c>
      <c r="I538" s="22" t="s">
        <v>87</v>
      </c>
      <c r="J538" s="23"/>
      <c r="K538" s="23"/>
    </row>
    <row r="539" spans="1:11" x14ac:dyDescent="0.25">
      <c r="A539" s="12" t="s">
        <v>36</v>
      </c>
      <c r="B539" s="12">
        <v>45</v>
      </c>
      <c r="C539" s="12">
        <v>4</v>
      </c>
      <c r="D539" s="12">
        <v>3.2</v>
      </c>
      <c r="E539" s="2">
        <v>950120</v>
      </c>
      <c r="F539" s="16">
        <f>3934+300+699+3248+2892+1592+1855+821+1020+748</f>
        <v>17109</v>
      </c>
      <c r="G539" s="1">
        <f t="shared" si="196"/>
        <v>1.8007199090641184E-2</v>
      </c>
      <c r="H539" s="23"/>
      <c r="I539" s="22"/>
      <c r="J539" s="23"/>
      <c r="K539" s="23"/>
    </row>
    <row r="540" spans="1:11" x14ac:dyDescent="0.25">
      <c r="A540" s="12" t="s">
        <v>36</v>
      </c>
      <c r="B540" s="12">
        <v>45</v>
      </c>
      <c r="C540" s="12">
        <v>4</v>
      </c>
      <c r="D540" s="12">
        <v>3.3</v>
      </c>
      <c r="E540" s="2">
        <v>925293</v>
      </c>
      <c r="F540" s="16">
        <v>26306</v>
      </c>
      <c r="G540" s="1">
        <f t="shared" si="196"/>
        <v>2.8429913551707407E-2</v>
      </c>
      <c r="H540" s="23"/>
      <c r="I540" s="22"/>
      <c r="J540" s="23"/>
      <c r="K540" s="23"/>
    </row>
    <row r="541" spans="1:11" x14ac:dyDescent="0.25">
      <c r="A541" s="12" t="s">
        <v>6</v>
      </c>
      <c r="B541" s="12">
        <v>5</v>
      </c>
      <c r="C541" s="12">
        <v>5</v>
      </c>
      <c r="D541" s="12">
        <v>1.1000000000000001</v>
      </c>
      <c r="E541" s="2">
        <v>719081</v>
      </c>
      <c r="F541" s="16">
        <v>85405</v>
      </c>
      <c r="G541" s="1">
        <f t="shared" si="196"/>
        <v>0.11876965181947513</v>
      </c>
      <c r="H541" s="23">
        <f t="shared" si="194"/>
        <v>0.15676178158596718</v>
      </c>
      <c r="I541" s="22" t="s">
        <v>87</v>
      </c>
      <c r="J541" s="23">
        <f t="shared" ref="J541" si="200">AVERAGE(G541:G549)</f>
        <v>0.10602845407426652</v>
      </c>
      <c r="K541" s="23">
        <f>AVERAGE(G541:G567)</f>
        <v>4.9636906993826398E-2</v>
      </c>
    </row>
    <row r="542" spans="1:11" x14ac:dyDescent="0.25">
      <c r="A542" s="12" t="s">
        <v>6</v>
      </c>
      <c r="B542" s="12">
        <v>5</v>
      </c>
      <c r="C542" s="12">
        <v>5</v>
      </c>
      <c r="D542" s="12">
        <v>1.2</v>
      </c>
      <c r="E542" s="2">
        <v>1329395</v>
      </c>
      <c r="F542" s="16">
        <v>177635</v>
      </c>
      <c r="G542" s="1">
        <f t="shared" si="196"/>
        <v>0.13362093283034765</v>
      </c>
      <c r="H542" s="23"/>
      <c r="I542" s="22"/>
      <c r="J542" s="23"/>
      <c r="K542" s="23"/>
    </row>
    <row r="543" spans="1:11" x14ac:dyDescent="0.25">
      <c r="A543" s="12" t="s">
        <v>6</v>
      </c>
      <c r="B543" s="12">
        <v>5</v>
      </c>
      <c r="C543" s="12">
        <v>5</v>
      </c>
      <c r="D543" s="12">
        <v>1.3</v>
      </c>
      <c r="E543" s="2">
        <v>1044274</v>
      </c>
      <c r="F543" s="16">
        <v>221785</v>
      </c>
      <c r="G543" s="1">
        <f t="shared" si="196"/>
        <v>0.21238199936032115</v>
      </c>
      <c r="H543" s="23"/>
      <c r="I543" s="22"/>
      <c r="J543" s="23"/>
      <c r="K543" s="23"/>
    </row>
    <row r="544" spans="1:11" x14ac:dyDescent="0.25">
      <c r="A544" s="12" t="s">
        <v>6</v>
      </c>
      <c r="B544" s="12">
        <v>5</v>
      </c>
      <c r="C544" s="12">
        <v>5</v>
      </c>
      <c r="D544" s="13">
        <v>2.1</v>
      </c>
      <c r="E544" s="6">
        <v>1017979</v>
      </c>
      <c r="F544" s="17">
        <v>69500</v>
      </c>
      <c r="G544" s="1">
        <f t="shared" si="196"/>
        <v>6.8272528215218592E-2</v>
      </c>
      <c r="H544" s="23">
        <f t="shared" si="194"/>
        <v>8.0679765110979851E-2</v>
      </c>
      <c r="I544" s="22" t="s">
        <v>87</v>
      </c>
      <c r="J544" s="23"/>
      <c r="K544" s="23"/>
    </row>
    <row r="545" spans="1:11" x14ac:dyDescent="0.25">
      <c r="A545" s="12" t="s">
        <v>6</v>
      </c>
      <c r="B545" s="12">
        <v>5</v>
      </c>
      <c r="C545" s="12">
        <v>5</v>
      </c>
      <c r="D545" s="14">
        <v>2.2000000000000002</v>
      </c>
      <c r="E545" s="6">
        <v>814628</v>
      </c>
      <c r="F545" s="17">
        <v>118605</v>
      </c>
      <c r="G545" s="1">
        <f t="shared" si="196"/>
        <v>0.14559406256598104</v>
      </c>
      <c r="H545" s="23"/>
      <c r="I545" s="22"/>
      <c r="J545" s="23"/>
      <c r="K545" s="23"/>
    </row>
    <row r="546" spans="1:11" x14ac:dyDescent="0.25">
      <c r="A546" s="12" t="s">
        <v>6</v>
      </c>
      <c r="B546" s="12">
        <v>5</v>
      </c>
      <c r="C546" s="12">
        <v>5</v>
      </c>
      <c r="D546" s="14">
        <v>2.2999999999999998</v>
      </c>
      <c r="E546" s="6">
        <v>989662</v>
      </c>
      <c r="F546" s="17">
        <v>39595</v>
      </c>
      <c r="G546" s="1">
        <f t="shared" si="196"/>
        <v>4.000860899984035E-2</v>
      </c>
      <c r="H546" s="23"/>
      <c r="I546" s="22"/>
      <c r="J546" s="23"/>
      <c r="K546" s="23"/>
    </row>
    <row r="547" spans="1:11" x14ac:dyDescent="0.25">
      <c r="A547" s="12" t="s">
        <v>6</v>
      </c>
      <c r="B547" s="12">
        <v>5</v>
      </c>
      <c r="C547" s="12">
        <v>5</v>
      </c>
      <c r="D547" s="12">
        <v>3.1</v>
      </c>
      <c r="E547" s="2">
        <v>1178173</v>
      </c>
      <c r="F547" s="16">
        <v>101129</v>
      </c>
      <c r="G547" s="1">
        <f t="shared" si="196"/>
        <v>8.5835441823908717E-2</v>
      </c>
      <c r="H547" s="23">
        <f t="shared" si="194"/>
        <v>7.7244084572978544E-2</v>
      </c>
      <c r="I547" s="22" t="s">
        <v>87</v>
      </c>
      <c r="J547" s="23"/>
      <c r="K547" s="23"/>
    </row>
    <row r="548" spans="1:11" x14ac:dyDescent="0.25">
      <c r="A548" s="12" t="s">
        <v>6</v>
      </c>
      <c r="B548" s="12">
        <v>5</v>
      </c>
      <c r="C548" s="12">
        <v>5</v>
      </c>
      <c r="D548" s="12">
        <v>3.2</v>
      </c>
      <c r="E548" s="2">
        <v>1410249</v>
      </c>
      <c r="F548" s="16">
        <v>89030</v>
      </c>
      <c r="G548" s="1">
        <f t="shared" si="196"/>
        <v>6.3130695359471981E-2</v>
      </c>
      <c r="H548" s="23"/>
      <c r="I548" s="22"/>
      <c r="J548" s="23"/>
      <c r="K548" s="23"/>
    </row>
    <row r="549" spans="1:11" x14ac:dyDescent="0.25">
      <c r="A549" s="12" t="s">
        <v>6</v>
      </c>
      <c r="B549" s="12">
        <v>5</v>
      </c>
      <c r="C549" s="12">
        <v>5</v>
      </c>
      <c r="D549" s="12">
        <v>3.3</v>
      </c>
      <c r="E549" s="2">
        <v>1040775</v>
      </c>
      <c r="F549" s="16">
        <f>69251+20924</f>
        <v>90175</v>
      </c>
      <c r="G549" s="1">
        <f t="shared" si="196"/>
        <v>8.6642165693833928E-2</v>
      </c>
      <c r="H549" s="23"/>
      <c r="I549" s="22"/>
      <c r="J549" s="23"/>
      <c r="K549" s="23"/>
    </row>
    <row r="550" spans="1:11" x14ac:dyDescent="0.25">
      <c r="A550" s="12" t="s">
        <v>7</v>
      </c>
      <c r="B550" s="12">
        <v>5</v>
      </c>
      <c r="C550" s="12">
        <v>5</v>
      </c>
      <c r="D550" s="12">
        <v>1.1000000000000001</v>
      </c>
      <c r="E550" s="2">
        <v>2252755</v>
      </c>
      <c r="F550" s="16">
        <v>218787</v>
      </c>
      <c r="G550" s="1">
        <f t="shared" si="196"/>
        <v>9.7119748929643923E-2</v>
      </c>
      <c r="H550" s="23">
        <f t="shared" si="194"/>
        <v>8.477552428285294E-2</v>
      </c>
      <c r="I550" s="22" t="s">
        <v>87</v>
      </c>
      <c r="J550" s="23">
        <f t="shared" ref="J550" si="201">AVERAGE(G550:G558)</f>
        <v>3.6032847161898404E-2</v>
      </c>
      <c r="K550" s="23"/>
    </row>
    <row r="551" spans="1:11" x14ac:dyDescent="0.25">
      <c r="A551" s="12" t="s">
        <v>7</v>
      </c>
      <c r="B551" s="12">
        <v>5</v>
      </c>
      <c r="C551" s="12">
        <v>5</v>
      </c>
      <c r="D551" s="12">
        <v>1.2</v>
      </c>
      <c r="E551" s="2">
        <v>2127188</v>
      </c>
      <c r="F551" s="16">
        <v>152465</v>
      </c>
      <c r="G551" s="1">
        <f t="shared" si="196"/>
        <v>7.1674435921977753E-2</v>
      </c>
      <c r="H551" s="23"/>
      <c r="I551" s="22"/>
      <c r="J551" s="23"/>
      <c r="K551" s="23"/>
    </row>
    <row r="552" spans="1:11" x14ac:dyDescent="0.25">
      <c r="A552" s="12" t="s">
        <v>7</v>
      </c>
      <c r="B552" s="12">
        <v>5</v>
      </c>
      <c r="C552" s="12">
        <v>5</v>
      </c>
      <c r="D552" s="12">
        <v>1.3</v>
      </c>
      <c r="E552" s="2">
        <v>1757536</v>
      </c>
      <c r="F552" s="16">
        <v>149056</v>
      </c>
      <c r="G552" s="1">
        <f t="shared" si="196"/>
        <v>8.4809642590535847E-2</v>
      </c>
      <c r="H552" s="23"/>
      <c r="I552" s="22"/>
      <c r="J552" s="23"/>
      <c r="K552" s="23"/>
    </row>
    <row r="553" spans="1:11" x14ac:dyDescent="0.25">
      <c r="A553" s="12" t="s">
        <v>7</v>
      </c>
      <c r="B553" s="12">
        <v>5</v>
      </c>
      <c r="C553" s="12">
        <v>5</v>
      </c>
      <c r="D553" s="12">
        <v>2.1</v>
      </c>
      <c r="E553" s="2">
        <v>1891563</v>
      </c>
      <c r="F553" s="16">
        <v>103258</v>
      </c>
      <c r="G553" s="1">
        <f t="shared" si="196"/>
        <v>5.4588718430208245E-2</v>
      </c>
      <c r="H553" s="23">
        <f t="shared" si="194"/>
        <v>2.0620170605915578E-2</v>
      </c>
      <c r="I553" s="22" t="s">
        <v>87</v>
      </c>
      <c r="J553" s="23"/>
      <c r="K553" s="23"/>
    </row>
    <row r="554" spans="1:11" x14ac:dyDescent="0.25">
      <c r="A554" s="12" t="s">
        <v>7</v>
      </c>
      <c r="B554" s="12">
        <v>5</v>
      </c>
      <c r="C554" s="12">
        <v>5</v>
      </c>
      <c r="D554" s="12">
        <v>2.2000000000000002</v>
      </c>
      <c r="E554" s="2">
        <v>2293138</v>
      </c>
      <c r="F554" s="16">
        <v>24019</v>
      </c>
      <c r="G554" s="1">
        <f t="shared" si="196"/>
        <v>1.0474293304633214E-2</v>
      </c>
      <c r="H554" s="23"/>
      <c r="I554" s="22"/>
      <c r="J554" s="23"/>
      <c r="K554" s="23"/>
    </row>
    <row r="555" spans="1:11" x14ac:dyDescent="0.25">
      <c r="A555" s="12" t="s">
        <v>7</v>
      </c>
      <c r="B555" s="12">
        <v>5</v>
      </c>
      <c r="C555" s="12">
        <v>5</v>
      </c>
      <c r="D555" s="12">
        <v>2.2999999999999998</v>
      </c>
      <c r="E555" s="2">
        <v>2637454</v>
      </c>
      <c r="F555" s="16">
        <v>13397</v>
      </c>
      <c r="G555" s="1">
        <f t="shared" si="196"/>
        <v>5.0795198702991593E-3</v>
      </c>
      <c r="H555" s="23"/>
      <c r="I555" s="22"/>
      <c r="J555" s="23"/>
      <c r="K555" s="23"/>
    </row>
    <row r="556" spans="1:11" x14ac:dyDescent="0.25">
      <c r="A556" s="12" t="s">
        <v>7</v>
      </c>
      <c r="B556" s="12">
        <v>5</v>
      </c>
      <c r="C556" s="12">
        <v>5</v>
      </c>
      <c r="D556" s="12">
        <v>3.1</v>
      </c>
      <c r="E556" s="2">
        <v>1220243</v>
      </c>
      <c r="F556" s="16">
        <v>153</v>
      </c>
      <c r="G556" s="1">
        <f t="shared" si="196"/>
        <v>1.2538486186767717E-4</v>
      </c>
      <c r="H556" s="23">
        <f t="shared" si="194"/>
        <v>1.7654440802943584E-4</v>
      </c>
      <c r="I556" s="22" t="s">
        <v>86</v>
      </c>
      <c r="J556" s="23"/>
      <c r="K556" s="23"/>
    </row>
    <row r="557" spans="1:11" x14ac:dyDescent="0.25">
      <c r="A557" s="12" t="s">
        <v>7</v>
      </c>
      <c r="B557" s="12">
        <v>5</v>
      </c>
      <c r="C557" s="12">
        <v>5</v>
      </c>
      <c r="D557" s="12">
        <v>3.2</v>
      </c>
      <c r="E557" s="2">
        <v>1520410</v>
      </c>
      <c r="F557" s="16">
        <v>0</v>
      </c>
      <c r="G557" s="1">
        <f t="shared" si="196"/>
        <v>0</v>
      </c>
      <c r="H557" s="23"/>
      <c r="I557" s="22"/>
      <c r="J557" s="23"/>
      <c r="K557" s="23"/>
    </row>
    <row r="558" spans="1:11" x14ac:dyDescent="0.25">
      <c r="A558" s="12" t="s">
        <v>7</v>
      </c>
      <c r="B558" s="12">
        <v>5</v>
      </c>
      <c r="C558" s="12">
        <v>5</v>
      </c>
      <c r="D558" s="12">
        <v>3.3</v>
      </c>
      <c r="E558" s="2">
        <v>1337641</v>
      </c>
      <c r="F558" s="16">
        <v>567</v>
      </c>
      <c r="G558" s="1">
        <f t="shared" si="196"/>
        <v>4.2388054791980806E-4</v>
      </c>
      <c r="H558" s="23"/>
      <c r="I558" s="22"/>
      <c r="J558" s="23"/>
      <c r="K558" s="23"/>
    </row>
    <row r="559" spans="1:11" x14ac:dyDescent="0.25">
      <c r="A559" s="12" t="s">
        <v>8</v>
      </c>
      <c r="B559" s="12">
        <v>5</v>
      </c>
      <c r="C559" s="12">
        <v>5</v>
      </c>
      <c r="D559" s="12">
        <v>1.1000000000000001</v>
      </c>
      <c r="E559" s="2">
        <v>1544721</v>
      </c>
      <c r="F559" s="16">
        <v>2911</v>
      </c>
      <c r="G559" s="1">
        <f t="shared" si="196"/>
        <v>1.8844826994648225E-3</v>
      </c>
      <c r="H559" s="23">
        <f t="shared" si="194"/>
        <v>2.4951860435619816E-3</v>
      </c>
      <c r="I559" s="22" t="s">
        <v>87</v>
      </c>
      <c r="J559" s="23">
        <f t="shared" ref="J559" si="202">AVERAGE(G559:G567)</f>
        <v>6.8494197453142823E-3</v>
      </c>
      <c r="K559" s="23"/>
    </row>
    <row r="560" spans="1:11" x14ac:dyDescent="0.25">
      <c r="A560" s="12" t="s">
        <v>8</v>
      </c>
      <c r="B560" s="12">
        <v>5</v>
      </c>
      <c r="C560" s="12">
        <v>5</v>
      </c>
      <c r="D560" s="12">
        <v>1.2</v>
      </c>
      <c r="E560" s="2">
        <v>1512508</v>
      </c>
      <c r="F560" s="16">
        <v>1973</v>
      </c>
      <c r="G560" s="1">
        <f t="shared" si="196"/>
        <v>1.3044559103158463E-3</v>
      </c>
      <c r="H560" s="23"/>
      <c r="I560" s="22"/>
      <c r="J560" s="23"/>
      <c r="K560" s="23"/>
    </row>
    <row r="561" spans="1:11" x14ac:dyDescent="0.25">
      <c r="A561" s="12" t="s">
        <v>8</v>
      </c>
      <c r="B561" s="12">
        <v>5</v>
      </c>
      <c r="C561" s="12">
        <v>5</v>
      </c>
      <c r="D561" s="12">
        <v>1.3</v>
      </c>
      <c r="E561" s="2">
        <v>1279121</v>
      </c>
      <c r="F561" s="16">
        <v>5936</v>
      </c>
      <c r="G561" s="1">
        <f t="shared" si="196"/>
        <v>4.640686846670487E-3</v>
      </c>
      <c r="H561" s="23"/>
      <c r="I561" s="22"/>
      <c r="J561" s="23"/>
      <c r="K561" s="23"/>
    </row>
    <row r="562" spans="1:11" x14ac:dyDescent="0.25">
      <c r="A562" s="12" t="s">
        <v>8</v>
      </c>
      <c r="B562" s="12">
        <v>5</v>
      </c>
      <c r="C562" s="12">
        <v>5</v>
      </c>
      <c r="D562" s="12">
        <v>2.1</v>
      </c>
      <c r="E562" s="2">
        <v>1314995</v>
      </c>
      <c r="F562" s="16">
        <v>15512</v>
      </c>
      <c r="G562" s="1">
        <f t="shared" si="196"/>
        <v>1.1796242571264529E-2</v>
      </c>
      <c r="H562" s="23">
        <f t="shared" si="194"/>
        <v>7.7785190232003976E-3</v>
      </c>
      <c r="I562" s="22" t="s">
        <v>87</v>
      </c>
      <c r="J562" s="23"/>
      <c r="K562" s="23"/>
    </row>
    <row r="563" spans="1:11" x14ac:dyDescent="0.25">
      <c r="A563" s="12" t="s">
        <v>8</v>
      </c>
      <c r="B563" s="12">
        <v>5</v>
      </c>
      <c r="C563" s="12">
        <v>5</v>
      </c>
      <c r="D563" s="12">
        <v>2.2000000000000002</v>
      </c>
      <c r="E563" s="2">
        <v>1330814</v>
      </c>
      <c r="F563" s="16">
        <v>3001</v>
      </c>
      <c r="G563" s="1">
        <f t="shared" si="196"/>
        <v>2.2550108429878254E-3</v>
      </c>
      <c r="H563" s="23"/>
      <c r="I563" s="22"/>
      <c r="J563" s="23"/>
      <c r="K563" s="23"/>
    </row>
    <row r="564" spans="1:11" x14ac:dyDescent="0.25">
      <c r="A564" s="12" t="s">
        <v>8</v>
      </c>
      <c r="B564" s="12">
        <v>5</v>
      </c>
      <c r="C564" s="12">
        <v>5</v>
      </c>
      <c r="D564" s="12">
        <v>2.2999999999999998</v>
      </c>
      <c r="E564" s="2">
        <v>1157100</v>
      </c>
      <c r="F564" s="16">
        <v>11068</v>
      </c>
      <c r="G564" s="1">
        <f t="shared" si="196"/>
        <v>9.5652925416990758E-3</v>
      </c>
      <c r="H564" s="23"/>
      <c r="I564" s="22"/>
      <c r="J564" s="23"/>
      <c r="K564" s="23"/>
    </row>
    <row r="565" spans="1:11" x14ac:dyDescent="0.25">
      <c r="A565" s="12" t="s">
        <v>8</v>
      </c>
      <c r="B565" s="12">
        <v>5</v>
      </c>
      <c r="C565" s="12">
        <v>5</v>
      </c>
      <c r="D565" s="12">
        <v>3.1</v>
      </c>
      <c r="E565" s="2">
        <v>1090789</v>
      </c>
      <c r="F565" s="16">
        <v>4943</v>
      </c>
      <c r="G565" s="1">
        <f t="shared" si="196"/>
        <v>4.5315821850055327E-3</v>
      </c>
      <c r="H565" s="23">
        <f t="shared" ref="H565:H628" si="203">(SUM(F565:F567))/SUM(E565:E567)</f>
        <v>1.0113859358607745E-2</v>
      </c>
      <c r="I565" s="22" t="s">
        <v>87</v>
      </c>
      <c r="J565" s="23"/>
      <c r="K565" s="23"/>
    </row>
    <row r="566" spans="1:11" x14ac:dyDescent="0.25">
      <c r="A566" s="12" t="s">
        <v>8</v>
      </c>
      <c r="B566" s="12">
        <v>5</v>
      </c>
      <c r="C566" s="12">
        <v>5</v>
      </c>
      <c r="D566" s="12">
        <v>3.2</v>
      </c>
      <c r="E566" s="2">
        <v>1000327</v>
      </c>
      <c r="F566" s="16">
        <v>22342</v>
      </c>
      <c r="G566" s="1">
        <f t="shared" si="196"/>
        <v>2.2334696554226766E-2</v>
      </c>
      <c r="H566" s="23"/>
      <c r="I566" s="22"/>
      <c r="J566" s="23"/>
      <c r="K566" s="23"/>
    </row>
    <row r="567" spans="1:11" x14ac:dyDescent="0.25">
      <c r="A567" s="12" t="s">
        <v>8</v>
      </c>
      <c r="B567" s="12">
        <v>5</v>
      </c>
      <c r="C567" s="12">
        <v>5</v>
      </c>
      <c r="D567" s="12">
        <v>3.3</v>
      </c>
      <c r="E567" s="2">
        <v>904773</v>
      </c>
      <c r="F567" s="16">
        <v>3015</v>
      </c>
      <c r="G567" s="1">
        <f t="shared" si="196"/>
        <v>3.3323275561936531E-3</v>
      </c>
      <c r="H567" s="23"/>
      <c r="I567" s="22"/>
      <c r="J567" s="23"/>
      <c r="K567" s="23"/>
    </row>
    <row r="568" spans="1:11" x14ac:dyDescent="0.25">
      <c r="A568" s="12" t="s">
        <v>24</v>
      </c>
      <c r="B568" s="12">
        <v>10</v>
      </c>
      <c r="C568" s="12">
        <v>5</v>
      </c>
      <c r="D568" s="12">
        <v>1.1000000000000001</v>
      </c>
      <c r="E568" s="2">
        <v>2810080</v>
      </c>
      <c r="F568" s="16">
        <v>0</v>
      </c>
      <c r="G568" s="1">
        <f t="shared" si="196"/>
        <v>0</v>
      </c>
      <c r="H568" s="23">
        <f t="shared" si="203"/>
        <v>0</v>
      </c>
      <c r="I568" s="22" t="s">
        <v>87</v>
      </c>
      <c r="J568" s="23">
        <f t="shared" ref="J568" si="204">AVERAGE(G568:G576)</f>
        <v>3.7385514193675412E-3</v>
      </c>
      <c r="K568" s="23">
        <f>AVERAGE(G568:G594)</f>
        <v>1.6243196432448363E-2</v>
      </c>
    </row>
    <row r="569" spans="1:11" x14ac:dyDescent="0.25">
      <c r="A569" s="12" t="s">
        <v>24</v>
      </c>
      <c r="B569" s="12">
        <v>10</v>
      </c>
      <c r="C569" s="12">
        <v>5</v>
      </c>
      <c r="D569" s="12">
        <v>1.2</v>
      </c>
      <c r="E569" s="2">
        <v>1227907</v>
      </c>
      <c r="F569" s="16">
        <v>0</v>
      </c>
      <c r="G569" s="1">
        <f t="shared" si="196"/>
        <v>0</v>
      </c>
      <c r="H569" s="23"/>
      <c r="I569" s="22"/>
      <c r="J569" s="23"/>
      <c r="K569" s="23"/>
    </row>
    <row r="570" spans="1:11" x14ac:dyDescent="0.25">
      <c r="A570" s="12" t="s">
        <v>24</v>
      </c>
      <c r="B570" s="12">
        <v>10</v>
      </c>
      <c r="C570" s="12">
        <v>5</v>
      </c>
      <c r="D570" s="12">
        <v>1.3</v>
      </c>
      <c r="E570" s="2">
        <v>2366273</v>
      </c>
      <c r="F570" s="16">
        <v>0</v>
      </c>
      <c r="G570" s="1">
        <f t="shared" si="196"/>
        <v>0</v>
      </c>
      <c r="H570" s="23"/>
      <c r="I570" s="22"/>
      <c r="J570" s="23"/>
      <c r="K570" s="23"/>
    </row>
    <row r="571" spans="1:11" x14ac:dyDescent="0.25">
      <c r="A571" s="12" t="s">
        <v>24</v>
      </c>
      <c r="B571" s="12">
        <v>10</v>
      </c>
      <c r="C571" s="12">
        <v>5</v>
      </c>
      <c r="D571" s="12">
        <v>2.1</v>
      </c>
      <c r="E571" s="2">
        <v>1355494</v>
      </c>
      <c r="F571" s="16">
        <v>308</v>
      </c>
      <c r="G571" s="1">
        <f t="shared" si="196"/>
        <v>2.2722343293293809E-4</v>
      </c>
      <c r="H571" s="23">
        <f t="shared" si="203"/>
        <v>2.3550505243015063E-3</v>
      </c>
      <c r="I571" s="22" t="s">
        <v>87</v>
      </c>
      <c r="J571" s="23"/>
      <c r="K571" s="23"/>
    </row>
    <row r="572" spans="1:11" x14ac:dyDescent="0.25">
      <c r="A572" s="12" t="s">
        <v>24</v>
      </c>
      <c r="B572" s="12">
        <v>10</v>
      </c>
      <c r="C572" s="12">
        <v>5</v>
      </c>
      <c r="D572" s="12">
        <v>2.2000000000000002</v>
      </c>
      <c r="E572" s="2">
        <v>1561266</v>
      </c>
      <c r="F572" s="16">
        <v>2006</v>
      </c>
      <c r="G572" s="1">
        <f t="shared" si="196"/>
        <v>1.284854726869092E-3</v>
      </c>
      <c r="H572" s="23"/>
      <c r="I572" s="22"/>
      <c r="J572" s="23"/>
      <c r="K572" s="23"/>
    </row>
    <row r="573" spans="1:11" x14ac:dyDescent="0.25">
      <c r="A573" s="12" t="s">
        <v>24</v>
      </c>
      <c r="B573" s="12">
        <v>10</v>
      </c>
      <c r="C573" s="12">
        <v>5</v>
      </c>
      <c r="D573" s="12">
        <v>2.2999999999999998</v>
      </c>
      <c r="E573" s="2">
        <v>1228374</v>
      </c>
      <c r="F573" s="16">
        <f>7213+235</f>
        <v>7448</v>
      </c>
      <c r="G573" s="1">
        <f t="shared" si="196"/>
        <v>6.0632999395949438E-3</v>
      </c>
      <c r="H573" s="23"/>
      <c r="I573" s="22"/>
      <c r="J573" s="23"/>
      <c r="K573" s="23"/>
    </row>
    <row r="574" spans="1:11" x14ac:dyDescent="0.25">
      <c r="A574" s="12" t="s">
        <v>24</v>
      </c>
      <c r="B574" s="12">
        <v>10</v>
      </c>
      <c r="C574" s="12">
        <v>5</v>
      </c>
      <c r="D574" s="12">
        <v>3.1</v>
      </c>
      <c r="E574" s="2">
        <v>2173306</v>
      </c>
      <c r="F574" s="16">
        <v>40259</v>
      </c>
      <c r="G574" s="1">
        <f t="shared" si="196"/>
        <v>1.8524312729086469E-2</v>
      </c>
      <c r="H574" s="23">
        <f t="shared" si="203"/>
        <v>8.8794158387363702E-3</v>
      </c>
      <c r="I574" s="22" t="s">
        <v>87</v>
      </c>
      <c r="J574" s="23"/>
      <c r="K574" s="23"/>
    </row>
    <row r="575" spans="1:11" x14ac:dyDescent="0.25">
      <c r="A575" s="12" t="s">
        <v>24</v>
      </c>
      <c r="B575" s="12">
        <v>10</v>
      </c>
      <c r="C575" s="12">
        <v>5</v>
      </c>
      <c r="D575" s="12">
        <v>3.2</v>
      </c>
      <c r="E575" s="2">
        <v>2087225</v>
      </c>
      <c r="F575" s="16">
        <v>6508</v>
      </c>
      <c r="G575" s="1">
        <f t="shared" si="196"/>
        <v>3.1180155469582821E-3</v>
      </c>
      <c r="H575" s="23"/>
      <c r="I575" s="22"/>
      <c r="J575" s="23"/>
      <c r="K575" s="23"/>
    </row>
    <row r="576" spans="1:11" x14ac:dyDescent="0.25">
      <c r="A576" s="12" t="s">
        <v>24</v>
      </c>
      <c r="B576" s="12">
        <v>10</v>
      </c>
      <c r="C576" s="12">
        <v>5</v>
      </c>
      <c r="D576" s="12">
        <v>3.3</v>
      </c>
      <c r="E576" s="2">
        <v>2008012</v>
      </c>
      <c r="F576" s="16">
        <v>8894</v>
      </c>
      <c r="G576" s="1">
        <f t="shared" si="196"/>
        <v>4.4292563988661418E-3</v>
      </c>
      <c r="H576" s="23"/>
      <c r="I576" s="22"/>
      <c r="J576" s="23"/>
      <c r="K576" s="23"/>
    </row>
    <row r="577" spans="1:11" x14ac:dyDescent="0.25">
      <c r="A577" s="12" t="s">
        <v>23</v>
      </c>
      <c r="B577" s="12">
        <v>10</v>
      </c>
      <c r="C577" s="12">
        <v>5</v>
      </c>
      <c r="D577" s="12">
        <v>1.1000000000000001</v>
      </c>
      <c r="E577" s="2">
        <v>1853635</v>
      </c>
      <c r="F577" s="16">
        <v>2738</v>
      </c>
      <c r="G577" s="1">
        <f t="shared" si="196"/>
        <v>1.4770977026221451E-3</v>
      </c>
      <c r="H577" s="23">
        <f t="shared" si="203"/>
        <v>1.8726854187453522E-3</v>
      </c>
      <c r="I577" s="22" t="s">
        <v>86</v>
      </c>
      <c r="J577" s="23">
        <f t="shared" ref="J577" si="205">AVERAGE(G577:G585)</f>
        <v>2.7445083679463047E-2</v>
      </c>
      <c r="K577" s="23"/>
    </row>
    <row r="578" spans="1:11" x14ac:dyDescent="0.25">
      <c r="A578" s="12" t="s">
        <v>23</v>
      </c>
      <c r="B578" s="12">
        <v>10</v>
      </c>
      <c r="C578" s="12">
        <v>5</v>
      </c>
      <c r="D578" s="12">
        <v>1.2</v>
      </c>
      <c r="E578" s="2">
        <v>2933587</v>
      </c>
      <c r="F578" s="16">
        <v>8981</v>
      </c>
      <c r="G578" s="1">
        <f t="shared" ref="G578:G641" si="206">F578/E578</f>
        <v>3.0614398004899803E-3</v>
      </c>
      <c r="H578" s="23"/>
      <c r="I578" s="22"/>
      <c r="J578" s="23"/>
      <c r="K578" s="23"/>
    </row>
    <row r="579" spans="1:11" x14ac:dyDescent="0.25">
      <c r="A579" s="12" t="s">
        <v>23</v>
      </c>
      <c r="B579" s="12">
        <v>10</v>
      </c>
      <c r="C579" s="12">
        <v>5</v>
      </c>
      <c r="D579" s="12">
        <v>1.3</v>
      </c>
      <c r="E579" s="2">
        <v>1635106</v>
      </c>
      <c r="F579" s="16">
        <v>308</v>
      </c>
      <c r="G579" s="1">
        <f t="shared" si="206"/>
        <v>1.8836699272096121E-4</v>
      </c>
      <c r="H579" s="23"/>
      <c r="I579" s="22"/>
      <c r="J579" s="23"/>
      <c r="K579" s="23"/>
    </row>
    <row r="580" spans="1:11" x14ac:dyDescent="0.25">
      <c r="A580" s="12" t="s">
        <v>23</v>
      </c>
      <c r="B580" s="12">
        <v>10</v>
      </c>
      <c r="C580" s="12">
        <v>5</v>
      </c>
      <c r="D580" s="12">
        <v>2.1</v>
      </c>
      <c r="E580" s="2">
        <v>1562551</v>
      </c>
      <c r="F580" s="16">
        <v>42223</v>
      </c>
      <c r="G580" s="1">
        <f t="shared" si="206"/>
        <v>2.7021838007207446E-2</v>
      </c>
      <c r="H580" s="23">
        <f t="shared" si="203"/>
        <v>2.4106001282444906E-2</v>
      </c>
      <c r="I580" s="22" t="s">
        <v>87</v>
      </c>
      <c r="J580" s="23"/>
      <c r="K580" s="23"/>
    </row>
    <row r="581" spans="1:11" x14ac:dyDescent="0.25">
      <c r="A581" s="12" t="s">
        <v>23</v>
      </c>
      <c r="B581" s="12">
        <v>10</v>
      </c>
      <c r="C581" s="12">
        <v>5</v>
      </c>
      <c r="D581" s="12">
        <v>2.2000000000000002</v>
      </c>
      <c r="E581" s="2">
        <v>1812051</v>
      </c>
      <c r="F581" s="16">
        <v>49097</v>
      </c>
      <c r="G581" s="1">
        <f t="shared" si="206"/>
        <v>2.7094712014176202E-2</v>
      </c>
      <c r="H581" s="23"/>
      <c r="I581" s="22"/>
      <c r="J581" s="23"/>
      <c r="K581" s="23"/>
    </row>
    <row r="582" spans="1:11" x14ac:dyDescent="0.25">
      <c r="A582" s="12" t="s">
        <v>23</v>
      </c>
      <c r="B582" s="12">
        <v>10</v>
      </c>
      <c r="C582" s="12">
        <v>5</v>
      </c>
      <c r="D582" s="12">
        <v>2.2999999999999998</v>
      </c>
      <c r="E582" s="2">
        <v>1520735</v>
      </c>
      <c r="F582" s="16">
        <v>26687</v>
      </c>
      <c r="G582" s="1">
        <f t="shared" si="206"/>
        <v>1.7548751097331224E-2</v>
      </c>
      <c r="H582" s="23"/>
      <c r="I582" s="22"/>
      <c r="J582" s="23"/>
      <c r="K582" s="23"/>
    </row>
    <row r="583" spans="1:11" x14ac:dyDescent="0.25">
      <c r="A583" s="12" t="s">
        <v>23</v>
      </c>
      <c r="B583" s="12">
        <v>10</v>
      </c>
      <c r="C583" s="12">
        <v>5</v>
      </c>
      <c r="D583" s="12">
        <v>3.1</v>
      </c>
      <c r="E583" s="2">
        <v>2068840</v>
      </c>
      <c r="F583" s="16">
        <v>131248</v>
      </c>
      <c r="G583" s="1">
        <f t="shared" si="206"/>
        <v>6.3440382049844354E-2</v>
      </c>
      <c r="H583" s="23">
        <f t="shared" si="203"/>
        <v>5.7851175246664908E-2</v>
      </c>
      <c r="I583" s="22" t="s">
        <v>87</v>
      </c>
      <c r="J583" s="23"/>
      <c r="K583" s="23"/>
    </row>
    <row r="584" spans="1:11" x14ac:dyDescent="0.25">
      <c r="A584" s="12" t="s">
        <v>23</v>
      </c>
      <c r="B584" s="12">
        <v>10</v>
      </c>
      <c r="C584" s="12">
        <v>5</v>
      </c>
      <c r="D584" s="12">
        <v>3.2</v>
      </c>
      <c r="E584" s="2">
        <v>2000085</v>
      </c>
      <c r="F584" s="16">
        <v>47980</v>
      </c>
      <c r="G584" s="1">
        <f t="shared" si="206"/>
        <v>2.3988980468330097E-2</v>
      </c>
      <c r="H584" s="23"/>
      <c r="I584" s="22"/>
      <c r="J584" s="23"/>
      <c r="K584" s="23"/>
    </row>
    <row r="585" spans="1:11" x14ac:dyDescent="0.25">
      <c r="A585" s="12" t="s">
        <v>23</v>
      </c>
      <c r="B585" s="12">
        <v>10</v>
      </c>
      <c r="C585" s="12">
        <v>5</v>
      </c>
      <c r="D585" s="12">
        <v>3.3</v>
      </c>
      <c r="E585" s="2">
        <v>2217032</v>
      </c>
      <c r="F585" s="16">
        <v>184422</v>
      </c>
      <c r="G585" s="1">
        <f t="shared" si="206"/>
        <v>8.3184184982444995E-2</v>
      </c>
      <c r="H585" s="23"/>
      <c r="I585" s="22"/>
      <c r="J585" s="23"/>
      <c r="K585" s="23"/>
    </row>
    <row r="586" spans="1:11" x14ac:dyDescent="0.25">
      <c r="A586" s="12" t="s">
        <v>22</v>
      </c>
      <c r="B586" s="12">
        <v>10</v>
      </c>
      <c r="C586" s="12">
        <v>5</v>
      </c>
      <c r="D586" s="12">
        <v>1.1000000000000001</v>
      </c>
      <c r="E586" s="2">
        <v>2072007</v>
      </c>
      <c r="F586" s="16">
        <f>4466+42775+1155</f>
        <v>48396</v>
      </c>
      <c r="G586" s="1">
        <f t="shared" si="206"/>
        <v>2.3357063948143034E-2</v>
      </c>
      <c r="H586" s="23">
        <f t="shared" si="203"/>
        <v>2.3778707084062191E-2</v>
      </c>
      <c r="I586" s="22" t="s">
        <v>87</v>
      </c>
      <c r="J586" s="23">
        <f t="shared" ref="J586" si="207">AVERAGE(G586:G594)</f>
        <v>1.7545954198514513E-2</v>
      </c>
      <c r="K586" s="23"/>
    </row>
    <row r="587" spans="1:11" x14ac:dyDescent="0.25">
      <c r="A587" s="12" t="s">
        <v>22</v>
      </c>
      <c r="B587" s="12">
        <v>10</v>
      </c>
      <c r="C587" s="12">
        <v>5</v>
      </c>
      <c r="D587" s="12">
        <v>1.2</v>
      </c>
      <c r="E587" s="2">
        <v>2250263</v>
      </c>
      <c r="F587" s="16">
        <v>64319</v>
      </c>
      <c r="G587" s="1">
        <f t="shared" si="206"/>
        <v>2.8582881200997393E-2</v>
      </c>
      <c r="H587" s="23"/>
      <c r="I587" s="22"/>
      <c r="J587" s="23"/>
      <c r="K587" s="23"/>
    </row>
    <row r="588" spans="1:11" x14ac:dyDescent="0.25">
      <c r="A588" s="12" t="s">
        <v>22</v>
      </c>
      <c r="B588" s="12">
        <v>10</v>
      </c>
      <c r="C588" s="12">
        <v>5</v>
      </c>
      <c r="D588" s="12">
        <v>1.3</v>
      </c>
      <c r="E588" s="2">
        <v>2139898</v>
      </c>
      <c r="F588" s="16">
        <v>40947</v>
      </c>
      <c r="G588" s="1">
        <f t="shared" si="206"/>
        <v>1.9135024192741896E-2</v>
      </c>
      <c r="H588" s="23"/>
      <c r="I588" s="22"/>
      <c r="J588" s="23"/>
      <c r="K588" s="23"/>
    </row>
    <row r="589" spans="1:11" x14ac:dyDescent="0.25">
      <c r="A589" s="12" t="s">
        <v>22</v>
      </c>
      <c r="B589" s="12">
        <v>10</v>
      </c>
      <c r="C589" s="12">
        <v>5</v>
      </c>
      <c r="D589" s="12">
        <v>2.1</v>
      </c>
      <c r="E589" s="2">
        <v>2164585</v>
      </c>
      <c r="F589" s="16">
        <v>62904</v>
      </c>
      <c r="G589" s="1">
        <f t="shared" si="206"/>
        <v>2.9060535853292893E-2</v>
      </c>
      <c r="H589" s="23">
        <f t="shared" si="203"/>
        <v>2.498173993281011E-2</v>
      </c>
      <c r="I589" s="22" t="s">
        <v>87</v>
      </c>
      <c r="J589" s="23"/>
      <c r="K589" s="23"/>
    </row>
    <row r="590" spans="1:11" x14ac:dyDescent="0.25">
      <c r="A590" s="12" t="s">
        <v>22</v>
      </c>
      <c r="B590" s="12">
        <v>10</v>
      </c>
      <c r="C590" s="12">
        <v>5</v>
      </c>
      <c r="D590" s="12">
        <v>2.2000000000000002</v>
      </c>
      <c r="E590" s="2">
        <v>2133673</v>
      </c>
      <c r="F590" s="16">
        <v>41248</v>
      </c>
      <c r="G590" s="1">
        <f t="shared" si="206"/>
        <v>1.9331921995544774E-2</v>
      </c>
      <c r="H590" s="23"/>
      <c r="I590" s="22"/>
      <c r="J590" s="23"/>
      <c r="K590" s="23"/>
    </row>
    <row r="591" spans="1:11" x14ac:dyDescent="0.25">
      <c r="A591" s="12" t="s">
        <v>22</v>
      </c>
      <c r="B591" s="12">
        <v>10</v>
      </c>
      <c r="C591" s="12">
        <v>5</v>
      </c>
      <c r="D591" s="12">
        <v>2.2999999999999998</v>
      </c>
      <c r="E591" s="2">
        <v>2409001</v>
      </c>
      <c r="F591" s="16">
        <v>63407</v>
      </c>
      <c r="G591" s="1">
        <f t="shared" si="206"/>
        <v>2.6320869107152717E-2</v>
      </c>
      <c r="H591" s="23"/>
      <c r="I591" s="22"/>
      <c r="J591" s="23"/>
      <c r="K591" s="23"/>
    </row>
    <row r="592" spans="1:11" x14ac:dyDescent="0.25">
      <c r="A592" s="12" t="s">
        <v>22</v>
      </c>
      <c r="B592" s="12">
        <v>10</v>
      </c>
      <c r="C592" s="12">
        <v>5</v>
      </c>
      <c r="D592" s="12">
        <v>3.1</v>
      </c>
      <c r="E592" s="2">
        <v>2260673</v>
      </c>
      <c r="F592" s="16">
        <v>9316</v>
      </c>
      <c r="G592" s="1">
        <f t="shared" si="206"/>
        <v>4.1208967418109562E-3</v>
      </c>
      <c r="H592" s="23">
        <f t="shared" si="203"/>
        <v>4.0807310820305436E-3</v>
      </c>
      <c r="I592" s="22" t="s">
        <v>87</v>
      </c>
      <c r="J592" s="23"/>
      <c r="K592" s="23"/>
    </row>
    <row r="593" spans="1:11" x14ac:dyDescent="0.25">
      <c r="A593" s="12" t="s">
        <v>22</v>
      </c>
      <c r="B593" s="12">
        <v>10</v>
      </c>
      <c r="C593" s="12">
        <v>5</v>
      </c>
      <c r="D593" s="12">
        <v>3.2</v>
      </c>
      <c r="E593" s="2">
        <v>1944733</v>
      </c>
      <c r="F593" s="16">
        <v>5841</v>
      </c>
      <c r="G593" s="1">
        <f t="shared" si="206"/>
        <v>3.0034971381675533E-3</v>
      </c>
      <c r="H593" s="23"/>
      <c r="I593" s="22"/>
      <c r="J593" s="23"/>
      <c r="K593" s="23"/>
    </row>
    <row r="594" spans="1:11" x14ac:dyDescent="0.25">
      <c r="A594" s="12" t="s">
        <v>22</v>
      </c>
      <c r="B594" s="12">
        <v>10</v>
      </c>
      <c r="C594" s="12">
        <v>5</v>
      </c>
      <c r="D594" s="12">
        <v>3.3</v>
      </c>
      <c r="E594" s="2">
        <v>2178009</v>
      </c>
      <c r="F594" s="16">
        <v>10892</v>
      </c>
      <c r="G594" s="1">
        <f t="shared" si="206"/>
        <v>5.0008976087793948E-3</v>
      </c>
      <c r="H594" s="23"/>
      <c r="I594" s="22"/>
      <c r="J594" s="23"/>
      <c r="K594" s="23"/>
    </row>
    <row r="595" spans="1:11" x14ac:dyDescent="0.25">
      <c r="A595" s="12" t="s">
        <v>55</v>
      </c>
      <c r="B595" s="12">
        <v>25</v>
      </c>
      <c r="C595" s="12">
        <v>5</v>
      </c>
      <c r="D595" s="12">
        <v>1.1000000000000001</v>
      </c>
      <c r="E595" s="2">
        <v>1055118</v>
      </c>
      <c r="F595" s="16">
        <f>7959+2313+11382+982</f>
        <v>22636</v>
      </c>
      <c r="G595" s="1">
        <f t="shared" si="206"/>
        <v>2.1453524629472722E-2</v>
      </c>
      <c r="H595" s="23">
        <f t="shared" si="203"/>
        <v>3.0464142088774255E-2</v>
      </c>
      <c r="I595" s="22" t="s">
        <v>87</v>
      </c>
      <c r="J595" s="23">
        <f t="shared" ref="J595" si="208">AVERAGE(G595:G603)</f>
        <v>1.5152699498531399E-2</v>
      </c>
      <c r="K595" s="23">
        <f>AVERAGE(G595:G621)</f>
        <v>2.6948593000564434E-2</v>
      </c>
    </row>
    <row r="596" spans="1:11" x14ac:dyDescent="0.25">
      <c r="A596" s="12" t="s">
        <v>55</v>
      </c>
      <c r="B596" s="12">
        <v>25</v>
      </c>
      <c r="C596" s="12">
        <v>5</v>
      </c>
      <c r="D596" s="12">
        <v>1.2</v>
      </c>
      <c r="E596" s="2">
        <v>1095496</v>
      </c>
      <c r="F596" s="16">
        <f>3150+1663+3357+7906+12099+17025+133</f>
        <v>45333</v>
      </c>
      <c r="G596" s="1">
        <f t="shared" si="206"/>
        <v>4.138125561389544E-2</v>
      </c>
      <c r="H596" s="23"/>
      <c r="I596" s="22"/>
      <c r="J596" s="23"/>
      <c r="K596" s="23"/>
    </row>
    <row r="597" spans="1:11" x14ac:dyDescent="0.25">
      <c r="A597" s="12" t="s">
        <v>55</v>
      </c>
      <c r="B597" s="12">
        <v>25</v>
      </c>
      <c r="C597" s="12">
        <v>5</v>
      </c>
      <c r="D597" s="12">
        <v>1.3</v>
      </c>
      <c r="E597" s="2">
        <v>1371691</v>
      </c>
      <c r="F597" s="16">
        <f>33969+500+389+3278+841+358</f>
        <v>39335</v>
      </c>
      <c r="G597" s="1">
        <f t="shared" si="206"/>
        <v>2.8676283506999755E-2</v>
      </c>
      <c r="H597" s="23"/>
      <c r="I597" s="22"/>
      <c r="J597" s="23"/>
      <c r="K597" s="23"/>
    </row>
    <row r="598" spans="1:11" x14ac:dyDescent="0.25">
      <c r="A598" s="12" t="s">
        <v>55</v>
      </c>
      <c r="B598" s="12">
        <v>25</v>
      </c>
      <c r="C598" s="12">
        <v>5</v>
      </c>
      <c r="D598" s="12">
        <v>2.1</v>
      </c>
      <c r="E598" s="2">
        <v>1950006</v>
      </c>
      <c r="F598" s="16">
        <v>8534</v>
      </c>
      <c r="G598" s="1">
        <f t="shared" si="206"/>
        <v>4.3763967905739781E-3</v>
      </c>
      <c r="H598" s="23">
        <f t="shared" si="203"/>
        <v>1.0844638520402319E-2</v>
      </c>
      <c r="I598" s="22" t="s">
        <v>86</v>
      </c>
      <c r="J598" s="23"/>
      <c r="K598" s="23"/>
    </row>
    <row r="599" spans="1:11" x14ac:dyDescent="0.25">
      <c r="A599" s="12" t="s">
        <v>55</v>
      </c>
      <c r="B599" s="12">
        <v>25</v>
      </c>
      <c r="C599" s="12">
        <v>5</v>
      </c>
      <c r="D599" s="12">
        <v>2.2000000000000002</v>
      </c>
      <c r="E599" s="2">
        <v>1737202</v>
      </c>
      <c r="F599" s="16">
        <f>38007+1432</f>
        <v>39439</v>
      </c>
      <c r="G599" s="1">
        <f t="shared" si="206"/>
        <v>2.2702598776653492E-2</v>
      </c>
      <c r="H599" s="23"/>
      <c r="I599" s="22"/>
      <c r="J599" s="23"/>
      <c r="K599" s="23"/>
    </row>
    <row r="600" spans="1:11" x14ac:dyDescent="0.25">
      <c r="A600" s="12" t="s">
        <v>55</v>
      </c>
      <c r="B600" s="12">
        <v>25</v>
      </c>
      <c r="C600" s="12">
        <v>5</v>
      </c>
      <c r="D600" s="12">
        <v>2.2999999999999998</v>
      </c>
      <c r="E600" s="2">
        <v>1899608</v>
      </c>
      <c r="F600" s="16">
        <f>12216+398</f>
        <v>12614</v>
      </c>
      <c r="G600" s="1">
        <f t="shared" si="206"/>
        <v>6.640317370741753E-3</v>
      </c>
      <c r="H600" s="23"/>
      <c r="I600" s="22"/>
      <c r="J600" s="23"/>
      <c r="K600" s="23"/>
    </row>
    <row r="601" spans="1:11" x14ac:dyDescent="0.25">
      <c r="A601" s="12" t="s">
        <v>55</v>
      </c>
      <c r="B601" s="12">
        <v>25</v>
      </c>
      <c r="C601" s="12">
        <v>5</v>
      </c>
      <c r="D601" s="12">
        <v>3.1</v>
      </c>
      <c r="E601" s="2">
        <v>2418597</v>
      </c>
      <c r="F601" s="16">
        <v>10573</v>
      </c>
      <c r="G601" s="1">
        <f t="shared" si="206"/>
        <v>4.3715426753609633E-3</v>
      </c>
      <c r="H601" s="23">
        <f t="shared" si="203"/>
        <v>3.8623388610871077E-3</v>
      </c>
      <c r="I601" s="22" t="s">
        <v>86</v>
      </c>
      <c r="J601" s="23"/>
      <c r="K601" s="23"/>
    </row>
    <row r="602" spans="1:11" x14ac:dyDescent="0.25">
      <c r="A602" s="12" t="s">
        <v>55</v>
      </c>
      <c r="B602" s="12">
        <v>25</v>
      </c>
      <c r="C602" s="12">
        <v>5</v>
      </c>
      <c r="D602" s="12">
        <v>3.2</v>
      </c>
      <c r="E602" s="2">
        <v>2268666</v>
      </c>
      <c r="F602" s="16">
        <f>14197+230</f>
        <v>14427</v>
      </c>
      <c r="G602" s="1">
        <f t="shared" si="206"/>
        <v>6.3592437141474327E-3</v>
      </c>
      <c r="H602" s="23"/>
      <c r="I602" s="22"/>
      <c r="J602" s="23"/>
      <c r="K602" s="23"/>
    </row>
    <row r="603" spans="1:11" x14ac:dyDescent="0.25">
      <c r="A603" s="12" t="s">
        <v>55</v>
      </c>
      <c r="B603" s="12">
        <v>25</v>
      </c>
      <c r="C603" s="12">
        <v>5</v>
      </c>
      <c r="D603" s="12">
        <v>3.3</v>
      </c>
      <c r="E603" s="2">
        <v>1999359</v>
      </c>
      <c r="F603" s="16">
        <v>826</v>
      </c>
      <c r="G603" s="1">
        <f t="shared" si="206"/>
        <v>4.1313240893706431E-4</v>
      </c>
      <c r="H603" s="23"/>
      <c r="I603" s="22"/>
      <c r="J603" s="23"/>
      <c r="K603" s="23"/>
    </row>
    <row r="604" spans="1:11" x14ac:dyDescent="0.25">
      <c r="A604" s="12" t="s">
        <v>56</v>
      </c>
      <c r="B604" s="12">
        <v>25</v>
      </c>
      <c r="C604" s="12">
        <v>5</v>
      </c>
      <c r="D604" s="12">
        <v>1.1000000000000001</v>
      </c>
      <c r="E604" s="2">
        <v>2031942</v>
      </c>
      <c r="F604" s="16">
        <v>73194</v>
      </c>
      <c r="G604" s="1">
        <f t="shared" si="206"/>
        <v>3.602169746971124E-2</v>
      </c>
      <c r="H604" s="23">
        <f t="shared" si="203"/>
        <v>4.5916550007632825E-2</v>
      </c>
      <c r="I604" s="22" t="s">
        <v>87</v>
      </c>
      <c r="J604" s="23">
        <f t="shared" ref="J604" si="209">AVERAGE(G604:G612)</f>
        <v>4.7143651831696477E-2</v>
      </c>
      <c r="K604" s="23"/>
    </row>
    <row r="605" spans="1:11" x14ac:dyDescent="0.25">
      <c r="A605" s="12" t="s">
        <v>56</v>
      </c>
      <c r="B605" s="12">
        <v>25</v>
      </c>
      <c r="C605" s="12">
        <v>5</v>
      </c>
      <c r="D605" s="12">
        <v>1.2</v>
      </c>
      <c r="E605" s="2">
        <v>1712645</v>
      </c>
      <c r="F605" s="16">
        <f>73322+445+762</f>
        <v>74529</v>
      </c>
      <c r="G605" s="1">
        <f t="shared" si="206"/>
        <v>4.3516899299037452E-2</v>
      </c>
      <c r="H605" s="23"/>
      <c r="I605" s="22"/>
      <c r="J605" s="23"/>
      <c r="K605" s="23"/>
    </row>
    <row r="606" spans="1:11" x14ac:dyDescent="0.25">
      <c r="A606" s="12" t="s">
        <v>56</v>
      </c>
      <c r="B606" s="12">
        <v>25</v>
      </c>
      <c r="C606" s="12">
        <v>5</v>
      </c>
      <c r="D606" s="12">
        <v>1.3</v>
      </c>
      <c r="E606" s="2">
        <v>1640051</v>
      </c>
      <c r="F606" s="16">
        <f>94873+962+1708+1683+295</f>
        <v>99521</v>
      </c>
      <c r="G606" s="1">
        <f t="shared" si="206"/>
        <v>6.0681649534069369E-2</v>
      </c>
      <c r="H606" s="23"/>
      <c r="I606" s="22"/>
      <c r="J606" s="23"/>
      <c r="K606" s="23"/>
    </row>
    <row r="607" spans="1:11" x14ac:dyDescent="0.25">
      <c r="A607" s="12" t="s">
        <v>56</v>
      </c>
      <c r="B607" s="12">
        <v>25</v>
      </c>
      <c r="C607" s="12">
        <v>5</v>
      </c>
      <c r="D607" s="12">
        <v>2.1</v>
      </c>
      <c r="E607" s="2">
        <v>2041954</v>
      </c>
      <c r="F607" s="16">
        <f>75914+2626+2166+2236+2242</f>
        <v>85184</v>
      </c>
      <c r="G607" s="1">
        <f t="shared" si="206"/>
        <v>4.1716904494420538E-2</v>
      </c>
      <c r="H607" s="23">
        <f t="shared" si="203"/>
        <v>4.8771277840429048E-2</v>
      </c>
      <c r="I607" s="22" t="s">
        <v>87</v>
      </c>
      <c r="J607" s="23"/>
      <c r="K607" s="23"/>
    </row>
    <row r="608" spans="1:11" x14ac:dyDescent="0.25">
      <c r="A608" s="12" t="s">
        <v>56</v>
      </c>
      <c r="B608" s="12">
        <v>25</v>
      </c>
      <c r="C608" s="12">
        <v>5</v>
      </c>
      <c r="D608" s="12">
        <v>2.2000000000000002</v>
      </c>
      <c r="E608" s="2">
        <v>1793875</v>
      </c>
      <c r="F608" s="16">
        <v>113967</v>
      </c>
      <c r="G608" s="1">
        <f t="shared" si="206"/>
        <v>6.3531182495993307E-2</v>
      </c>
      <c r="H608" s="23"/>
      <c r="I608" s="22"/>
      <c r="J608" s="23"/>
      <c r="K608" s="23"/>
    </row>
    <row r="609" spans="1:11" x14ac:dyDescent="0.25">
      <c r="A609" s="12" t="s">
        <v>56</v>
      </c>
      <c r="B609" s="12">
        <v>25</v>
      </c>
      <c r="C609" s="12">
        <v>5</v>
      </c>
      <c r="D609" s="12">
        <v>2.2999999999999998</v>
      </c>
      <c r="E609" s="2">
        <v>1651335</v>
      </c>
      <c r="F609" s="16">
        <f>46518+4218+8826+1882+2132+4889</f>
        <v>68465</v>
      </c>
      <c r="G609" s="1">
        <f t="shared" si="206"/>
        <v>4.1460394165932411E-2</v>
      </c>
      <c r="H609" s="23"/>
      <c r="I609" s="22"/>
      <c r="J609" s="23"/>
      <c r="K609" s="23"/>
    </row>
    <row r="610" spans="1:11" x14ac:dyDescent="0.25">
      <c r="A610" s="12" t="s">
        <v>56</v>
      </c>
      <c r="B610" s="12">
        <v>25</v>
      </c>
      <c r="C610" s="12">
        <v>5</v>
      </c>
      <c r="D610" s="12">
        <v>3.1</v>
      </c>
      <c r="E610" s="2">
        <v>1208719</v>
      </c>
      <c r="F610" s="16">
        <f>54569+1734</f>
        <v>56303</v>
      </c>
      <c r="G610" s="1">
        <f t="shared" si="206"/>
        <v>4.6580718926400595E-2</v>
      </c>
      <c r="H610" s="23">
        <f t="shared" si="203"/>
        <v>4.6142507650725209E-2</v>
      </c>
      <c r="I610" s="22" t="s">
        <v>87</v>
      </c>
      <c r="J610" s="23"/>
      <c r="K610" s="23"/>
    </row>
    <row r="611" spans="1:11" x14ac:dyDescent="0.25">
      <c r="A611" s="12" t="s">
        <v>56</v>
      </c>
      <c r="B611" s="12">
        <v>25</v>
      </c>
      <c r="C611" s="12">
        <v>5</v>
      </c>
      <c r="D611" s="12">
        <v>3.2</v>
      </c>
      <c r="E611" s="2">
        <v>697753</v>
      </c>
      <c r="F611" s="16">
        <f>3909+872+10447+27856</f>
        <v>43084</v>
      </c>
      <c r="G611" s="1">
        <f t="shared" si="206"/>
        <v>6.1746778587838391E-2</v>
      </c>
      <c r="H611" s="23"/>
      <c r="I611" s="22"/>
      <c r="J611" s="23"/>
      <c r="K611" s="23"/>
    </row>
    <row r="612" spans="1:11" x14ac:dyDescent="0.25">
      <c r="A612" s="12" t="s">
        <v>56</v>
      </c>
      <c r="B612" s="12">
        <v>25</v>
      </c>
      <c r="C612" s="12">
        <v>5</v>
      </c>
      <c r="D612" s="12">
        <v>3.3</v>
      </c>
      <c r="E612" s="2">
        <v>667467</v>
      </c>
      <c r="F612" s="16">
        <v>19381</v>
      </c>
      <c r="G612" s="1">
        <f t="shared" si="206"/>
        <v>2.9036641511865007E-2</v>
      </c>
      <c r="H612" s="23"/>
      <c r="I612" s="22"/>
      <c r="J612" s="23"/>
      <c r="K612" s="23"/>
    </row>
    <row r="613" spans="1:11" x14ac:dyDescent="0.25">
      <c r="A613" s="12" t="s">
        <v>57</v>
      </c>
      <c r="B613" s="12">
        <v>25</v>
      </c>
      <c r="C613" s="12">
        <v>5</v>
      </c>
      <c r="D613" s="12">
        <v>1.1000000000000001</v>
      </c>
      <c r="E613" s="2">
        <v>2088152</v>
      </c>
      <c r="F613" s="16">
        <v>20335</v>
      </c>
      <c r="G613" s="1">
        <f t="shared" si="206"/>
        <v>9.7382757577034618E-3</v>
      </c>
      <c r="H613" s="23">
        <f t="shared" si="203"/>
        <v>1.9934414539548969E-2</v>
      </c>
      <c r="I613" s="22" t="s">
        <v>87</v>
      </c>
      <c r="J613" s="23">
        <f t="shared" ref="J613" si="210">AVERAGE(G613:G621)</f>
        <v>1.8549427671465425E-2</v>
      </c>
      <c r="K613" s="23"/>
    </row>
    <row r="614" spans="1:11" x14ac:dyDescent="0.25">
      <c r="A614" s="12" t="s">
        <v>57</v>
      </c>
      <c r="B614" s="12">
        <v>25</v>
      </c>
      <c r="C614" s="12">
        <v>5</v>
      </c>
      <c r="D614" s="12">
        <v>1.2</v>
      </c>
      <c r="E614" s="2">
        <v>1917580</v>
      </c>
      <c r="F614" s="16">
        <v>34187</v>
      </c>
      <c r="G614" s="1">
        <f t="shared" si="206"/>
        <v>1.7828200127243714E-2</v>
      </c>
      <c r="H614" s="23"/>
      <c r="I614" s="22"/>
      <c r="J614" s="23"/>
      <c r="K614" s="23"/>
    </row>
    <row r="615" spans="1:11" x14ac:dyDescent="0.25">
      <c r="A615" s="12" t="s">
        <v>57</v>
      </c>
      <c r="B615" s="12">
        <v>25</v>
      </c>
      <c r="C615" s="12">
        <v>5</v>
      </c>
      <c r="D615" s="12">
        <v>1.3</v>
      </c>
      <c r="E615" s="2">
        <v>2018774</v>
      </c>
      <c r="F615" s="16">
        <v>65573</v>
      </c>
      <c r="G615" s="1">
        <f t="shared" si="206"/>
        <v>3.2481595265245147E-2</v>
      </c>
      <c r="H615" s="23"/>
      <c r="I615" s="22"/>
      <c r="J615" s="23"/>
      <c r="K615" s="23"/>
    </row>
    <row r="616" spans="1:11" x14ac:dyDescent="0.25">
      <c r="A616" s="12" t="s">
        <v>57</v>
      </c>
      <c r="B616" s="12">
        <v>25</v>
      </c>
      <c r="C616" s="12">
        <v>5</v>
      </c>
      <c r="D616" s="12">
        <v>2.1</v>
      </c>
      <c r="E616" s="2">
        <v>1815547</v>
      </c>
      <c r="F616" s="16">
        <v>68086</v>
      </c>
      <c r="G616" s="1">
        <f t="shared" si="206"/>
        <v>3.7501645509590224E-2</v>
      </c>
      <c r="H616" s="23">
        <f t="shared" si="203"/>
        <v>3.5828652907461706E-2</v>
      </c>
      <c r="I616" s="22" t="s">
        <v>87</v>
      </c>
      <c r="J616" s="23"/>
      <c r="K616" s="23"/>
    </row>
    <row r="617" spans="1:11" x14ac:dyDescent="0.25">
      <c r="A617" s="12" t="s">
        <v>57</v>
      </c>
      <c r="B617" s="12">
        <v>25</v>
      </c>
      <c r="C617" s="12">
        <v>5</v>
      </c>
      <c r="D617" s="12">
        <v>2.2000000000000002</v>
      </c>
      <c r="E617" s="2">
        <v>1692266</v>
      </c>
      <c r="F617" s="16">
        <v>5959</v>
      </c>
      <c r="G617" s="1">
        <f t="shared" si="206"/>
        <v>3.5213140251000728E-3</v>
      </c>
      <c r="H617" s="23"/>
      <c r="I617" s="22"/>
      <c r="J617" s="23"/>
      <c r="K617" s="23"/>
    </row>
    <row r="618" spans="1:11" x14ac:dyDescent="0.25">
      <c r="A618" s="12" t="s">
        <v>57</v>
      </c>
      <c r="B618" s="12">
        <v>25</v>
      </c>
      <c r="C618" s="12">
        <v>5</v>
      </c>
      <c r="D618" s="12">
        <v>2.2999999999999998</v>
      </c>
      <c r="E618" s="2">
        <v>1744380</v>
      </c>
      <c r="F618" s="16">
        <v>114134</v>
      </c>
      <c r="G618" s="1">
        <f t="shared" si="206"/>
        <v>6.5429550900606523E-2</v>
      </c>
      <c r="H618" s="23"/>
      <c r="I618" s="22"/>
      <c r="J618" s="23"/>
      <c r="K618" s="23"/>
    </row>
    <row r="619" spans="1:11" x14ac:dyDescent="0.25">
      <c r="A619" s="12" t="s">
        <v>57</v>
      </c>
      <c r="B619" s="12">
        <v>25</v>
      </c>
      <c r="C619" s="12">
        <v>5</v>
      </c>
      <c r="D619" s="12">
        <v>3.1</v>
      </c>
      <c r="E619" s="2">
        <v>2482727</v>
      </c>
      <c r="F619" s="16">
        <v>265</v>
      </c>
      <c r="G619" s="1">
        <f t="shared" si="206"/>
        <v>1.0673747053139552E-4</v>
      </c>
      <c r="H619" s="23">
        <f t="shared" si="203"/>
        <v>1.417307947264703E-4</v>
      </c>
      <c r="I619" s="22" t="s">
        <v>86</v>
      </c>
      <c r="J619" s="23"/>
      <c r="K619" s="23"/>
    </row>
    <row r="620" spans="1:11" x14ac:dyDescent="0.25">
      <c r="A620" s="12" t="s">
        <v>57</v>
      </c>
      <c r="B620" s="12">
        <v>25</v>
      </c>
      <c r="C620" s="12">
        <v>5</v>
      </c>
      <c r="D620" s="12">
        <v>3.2</v>
      </c>
      <c r="E620" s="2">
        <v>2358482</v>
      </c>
      <c r="F620" s="16">
        <v>0</v>
      </c>
      <c r="G620" s="1">
        <f t="shared" si="206"/>
        <v>0</v>
      </c>
      <c r="H620" s="23"/>
      <c r="I620" s="22"/>
      <c r="J620" s="23"/>
      <c r="K620" s="23"/>
    </row>
    <row r="621" spans="1:11" x14ac:dyDescent="0.25">
      <c r="A621" s="12" t="s">
        <v>57</v>
      </c>
      <c r="B621" s="12">
        <v>25</v>
      </c>
      <c r="C621" s="12">
        <v>5</v>
      </c>
      <c r="D621" s="12">
        <v>3.3</v>
      </c>
      <c r="E621" s="2">
        <v>2150920</v>
      </c>
      <c r="F621" s="16">
        <v>726</v>
      </c>
      <c r="G621" s="1">
        <f t="shared" si="206"/>
        <v>3.3752998716828146E-4</v>
      </c>
      <c r="H621" s="23"/>
      <c r="I621" s="22"/>
      <c r="J621" s="23"/>
      <c r="K621" s="23"/>
    </row>
    <row r="622" spans="1:11" x14ac:dyDescent="0.25">
      <c r="A622" s="12" t="s">
        <v>41</v>
      </c>
      <c r="B622" s="12">
        <v>35</v>
      </c>
      <c r="C622" s="12">
        <v>5</v>
      </c>
      <c r="D622" s="12">
        <v>1.1000000000000001</v>
      </c>
      <c r="E622" s="2">
        <v>1191797</v>
      </c>
      <c r="F622" s="16">
        <v>26793</v>
      </c>
      <c r="G622" s="1">
        <f t="shared" si="206"/>
        <v>2.2481177583095108E-2</v>
      </c>
      <c r="H622" s="23">
        <f t="shared" si="203"/>
        <v>1.2459372272008178E-2</v>
      </c>
      <c r="I622" s="22" t="s">
        <v>86</v>
      </c>
      <c r="J622" s="23">
        <f t="shared" ref="J622" si="211">AVERAGE(G622:G630)</f>
        <v>4.1752616372354168E-2</v>
      </c>
      <c r="K622" s="23">
        <f>AVERAGE(G622:G648)</f>
        <v>2.2278223537073517E-2</v>
      </c>
    </row>
    <row r="623" spans="1:11" x14ac:dyDescent="0.25">
      <c r="A623" s="12" t="s">
        <v>41</v>
      </c>
      <c r="B623" s="12">
        <v>35</v>
      </c>
      <c r="C623" s="12">
        <v>5</v>
      </c>
      <c r="D623" s="12">
        <v>1.2</v>
      </c>
      <c r="E623" s="2">
        <v>808552</v>
      </c>
      <c r="F623" s="16">
        <f>810+449+418+812+324</f>
        <v>2813</v>
      </c>
      <c r="G623" s="1">
        <f t="shared" si="206"/>
        <v>3.4790588607782804E-3</v>
      </c>
      <c r="H623" s="23"/>
      <c r="I623" s="22"/>
      <c r="J623" s="23"/>
      <c r="K623" s="23"/>
    </row>
    <row r="624" spans="1:11" x14ac:dyDescent="0.25">
      <c r="A624" s="12" t="s">
        <v>41</v>
      </c>
      <c r="B624" s="12">
        <v>35</v>
      </c>
      <c r="C624" s="12">
        <v>5</v>
      </c>
      <c r="D624" s="12">
        <v>1.3</v>
      </c>
      <c r="E624" s="2">
        <v>2117836</v>
      </c>
      <c r="F624" s="16">
        <f>7265+2474+11965</f>
        <v>21704</v>
      </c>
      <c r="G624" s="1">
        <f t="shared" si="206"/>
        <v>1.0248196744223821E-2</v>
      </c>
      <c r="H624" s="23"/>
      <c r="I624" s="22"/>
      <c r="J624" s="23"/>
      <c r="K624" s="23"/>
    </row>
    <row r="625" spans="1:11" x14ac:dyDescent="0.25">
      <c r="A625" s="12" t="s">
        <v>41</v>
      </c>
      <c r="B625" s="12">
        <v>35</v>
      </c>
      <c r="C625" s="12">
        <v>5</v>
      </c>
      <c r="D625" s="12">
        <v>2.1</v>
      </c>
      <c r="E625" s="2">
        <v>413639</v>
      </c>
      <c r="F625" s="16">
        <f>585+1596+1566+468+257</f>
        <v>4472</v>
      </c>
      <c r="G625" s="1">
        <f t="shared" si="206"/>
        <v>1.0811359663861483E-2</v>
      </c>
      <c r="H625" s="23">
        <f t="shared" si="203"/>
        <v>8.959275909435847E-3</v>
      </c>
      <c r="I625" s="22" t="s">
        <v>86</v>
      </c>
      <c r="J625" s="23"/>
      <c r="K625" s="23"/>
    </row>
    <row r="626" spans="1:11" x14ac:dyDescent="0.25">
      <c r="A626" s="12" t="s">
        <v>41</v>
      </c>
      <c r="B626" s="12">
        <v>35</v>
      </c>
      <c r="C626" s="12">
        <v>5</v>
      </c>
      <c r="D626" s="12">
        <v>2.2000000000000002</v>
      </c>
      <c r="E626" s="2">
        <v>583963</v>
      </c>
      <c r="F626" s="16">
        <v>136</v>
      </c>
      <c r="G626" s="1">
        <f t="shared" si="206"/>
        <v>2.328914674388617E-4</v>
      </c>
      <c r="H626" s="23"/>
      <c r="I626" s="22"/>
      <c r="J626" s="23"/>
      <c r="K626" s="23"/>
    </row>
    <row r="627" spans="1:11" x14ac:dyDescent="0.25">
      <c r="A627" s="12" t="s">
        <v>41</v>
      </c>
      <c r="B627" s="12">
        <v>35</v>
      </c>
      <c r="C627" s="12">
        <v>5</v>
      </c>
      <c r="D627" s="12">
        <v>2.2999999999999998</v>
      </c>
      <c r="E627" s="2">
        <v>668046</v>
      </c>
      <c r="F627" s="16">
        <f>4270+1015+1084+576+219+581+362+2208</f>
        <v>10315</v>
      </c>
      <c r="G627" s="1">
        <f t="shared" si="206"/>
        <v>1.544055349481922E-2</v>
      </c>
      <c r="H627" s="23"/>
      <c r="I627" s="22"/>
      <c r="J627" s="23"/>
      <c r="K627" s="23"/>
    </row>
    <row r="628" spans="1:11" x14ac:dyDescent="0.25">
      <c r="A628" s="12" t="s">
        <v>41</v>
      </c>
      <c r="B628" s="12">
        <v>35</v>
      </c>
      <c r="C628" s="12">
        <v>5</v>
      </c>
      <c r="D628" s="12">
        <v>3.1</v>
      </c>
      <c r="E628" s="2">
        <v>1341587</v>
      </c>
      <c r="F628" s="16">
        <f>44245+3764+15644+3580+1749+1499+2280+12139+731</f>
        <v>85631</v>
      </c>
      <c r="G628" s="1">
        <f t="shared" si="206"/>
        <v>6.3828137869553006E-2</v>
      </c>
      <c r="H628" s="23">
        <f t="shared" si="203"/>
        <v>0.10544194526063702</v>
      </c>
      <c r="I628" s="22" t="s">
        <v>87</v>
      </c>
      <c r="J628" s="23"/>
      <c r="K628" s="23"/>
    </row>
    <row r="629" spans="1:11" x14ac:dyDescent="0.25">
      <c r="A629" s="12" t="s">
        <v>41</v>
      </c>
      <c r="B629" s="12">
        <v>35</v>
      </c>
      <c r="C629" s="12">
        <v>5</v>
      </c>
      <c r="D629" s="12">
        <v>3.2</v>
      </c>
      <c r="E629" s="2">
        <v>1200684</v>
      </c>
      <c r="F629" s="16">
        <f>12867+22641+16619+24234+17531</f>
        <v>93892</v>
      </c>
      <c r="G629" s="1">
        <f t="shared" si="206"/>
        <v>7.8198760040110477E-2</v>
      </c>
      <c r="H629" s="23"/>
      <c r="I629" s="22"/>
      <c r="J629" s="23"/>
      <c r="K629" s="23"/>
    </row>
    <row r="630" spans="1:11" x14ac:dyDescent="0.25">
      <c r="A630" s="12" t="s">
        <v>41</v>
      </c>
      <c r="B630" s="12">
        <v>35</v>
      </c>
      <c r="C630" s="12">
        <v>5</v>
      </c>
      <c r="D630" s="12">
        <v>3.3</v>
      </c>
      <c r="E630" s="2">
        <v>1349444</v>
      </c>
      <c r="F630" s="16">
        <f>221605+9222</f>
        <v>230827</v>
      </c>
      <c r="G630" s="1">
        <f t="shared" si="206"/>
        <v>0.17105341162730725</v>
      </c>
      <c r="H630" s="23"/>
      <c r="I630" s="22"/>
      <c r="J630" s="23"/>
      <c r="K630" s="23"/>
    </row>
    <row r="631" spans="1:11" x14ac:dyDescent="0.25">
      <c r="A631" s="12" t="s">
        <v>42</v>
      </c>
      <c r="B631" s="12">
        <v>35</v>
      </c>
      <c r="C631" s="12">
        <v>5</v>
      </c>
      <c r="D631" s="12">
        <v>1.1000000000000001</v>
      </c>
      <c r="E631" s="2">
        <v>1987016</v>
      </c>
      <c r="F631" s="16">
        <v>11269</v>
      </c>
      <c r="G631" s="1">
        <f t="shared" si="206"/>
        <v>5.6713181977397263E-3</v>
      </c>
      <c r="H631" s="23">
        <f t="shared" ref="H631:H676" si="212">(SUM(F631:F633))/SUM(E631:E633)</f>
        <v>2.7078902399072669E-2</v>
      </c>
      <c r="I631" s="22" t="s">
        <v>87</v>
      </c>
      <c r="J631" s="23">
        <f>AVERAGE(G631:G642)</f>
        <v>1.0210826750002561E-2</v>
      </c>
      <c r="K631" s="23"/>
    </row>
    <row r="632" spans="1:11" x14ac:dyDescent="0.25">
      <c r="A632" s="12" t="s">
        <v>42</v>
      </c>
      <c r="B632" s="12">
        <v>35</v>
      </c>
      <c r="C632" s="12">
        <v>5</v>
      </c>
      <c r="D632" s="12">
        <v>1.2</v>
      </c>
      <c r="E632" s="2">
        <v>2070997</v>
      </c>
      <c r="F632" s="16">
        <v>33933</v>
      </c>
      <c r="G632" s="1">
        <f t="shared" si="206"/>
        <v>1.6384861977105713E-2</v>
      </c>
      <c r="H632" s="23"/>
      <c r="I632" s="22"/>
      <c r="J632" s="23"/>
      <c r="K632" s="23"/>
    </row>
    <row r="633" spans="1:11" x14ac:dyDescent="0.25">
      <c r="A633" s="12" t="s">
        <v>42</v>
      </c>
      <c r="B633" s="12">
        <v>35</v>
      </c>
      <c r="C633" s="12">
        <v>5</v>
      </c>
      <c r="D633" s="12">
        <v>1.3</v>
      </c>
      <c r="E633" s="2">
        <v>1759985</v>
      </c>
      <c r="F633" s="16">
        <v>112343</v>
      </c>
      <c r="G633" s="1">
        <f t="shared" si="206"/>
        <v>6.3831794020971763E-2</v>
      </c>
      <c r="H633" s="23"/>
      <c r="I633" s="22"/>
      <c r="J633" s="23"/>
      <c r="K633" s="23"/>
    </row>
    <row r="634" spans="1:11" x14ac:dyDescent="0.25">
      <c r="A634" s="12" t="s">
        <v>42</v>
      </c>
      <c r="B634" s="12">
        <v>35</v>
      </c>
      <c r="C634" s="12">
        <v>5</v>
      </c>
      <c r="D634" s="12">
        <v>2.1</v>
      </c>
      <c r="E634" s="2">
        <v>891828</v>
      </c>
      <c r="F634" s="16">
        <v>12376</v>
      </c>
      <c r="G634" s="1">
        <f t="shared" si="206"/>
        <v>1.3877115318200371E-2</v>
      </c>
      <c r="H634" s="23">
        <f t="shared" si="212"/>
        <v>1.0811845558957442E-2</v>
      </c>
      <c r="I634" s="22" t="s">
        <v>87</v>
      </c>
      <c r="J634" s="23"/>
      <c r="K634" s="23"/>
    </row>
    <row r="635" spans="1:11" x14ac:dyDescent="0.25">
      <c r="A635" s="12" t="s">
        <v>42</v>
      </c>
      <c r="B635" s="12">
        <v>35</v>
      </c>
      <c r="C635" s="12">
        <v>5</v>
      </c>
      <c r="D635" s="12">
        <v>2.2000000000000002</v>
      </c>
      <c r="E635" s="2">
        <v>798713</v>
      </c>
      <c r="F635" s="16">
        <v>11324</v>
      </c>
      <c r="G635" s="1">
        <f t="shared" si="206"/>
        <v>1.4177808549504015E-2</v>
      </c>
      <c r="H635" s="23"/>
      <c r="I635" s="22"/>
      <c r="J635" s="23"/>
      <c r="K635" s="23"/>
    </row>
    <row r="636" spans="1:11" x14ac:dyDescent="0.25">
      <c r="A636" s="12" t="s">
        <v>42</v>
      </c>
      <c r="B636" s="12">
        <v>35</v>
      </c>
      <c r="C636" s="12">
        <v>5</v>
      </c>
      <c r="D636" s="12">
        <v>2.2999999999999998</v>
      </c>
      <c r="E636" s="2">
        <v>900506</v>
      </c>
      <c r="F636" s="16">
        <v>4314</v>
      </c>
      <c r="G636" s="1">
        <f t="shared" si="206"/>
        <v>4.7906399291065245E-3</v>
      </c>
      <c r="H636" s="23"/>
      <c r="I636" s="22"/>
      <c r="J636" s="23"/>
      <c r="K636" s="23"/>
    </row>
    <row r="637" spans="1:11" x14ac:dyDescent="0.25">
      <c r="A637" s="12" t="s">
        <v>42</v>
      </c>
      <c r="B637" s="12">
        <v>35</v>
      </c>
      <c r="C637" s="12">
        <v>5</v>
      </c>
      <c r="D637" s="12">
        <v>3.1</v>
      </c>
      <c r="E637" s="2">
        <v>1658053</v>
      </c>
      <c r="F637" s="16">
        <v>1011</v>
      </c>
      <c r="G637" s="1">
        <f t="shared" si="206"/>
        <v>6.0975131675525447E-4</v>
      </c>
      <c r="H637" s="23">
        <f t="shared" si="212"/>
        <v>7.1141005619102947E-4</v>
      </c>
      <c r="I637" s="22" t="s">
        <v>87</v>
      </c>
      <c r="J637" s="23"/>
      <c r="K637" s="23"/>
    </row>
    <row r="638" spans="1:11" x14ac:dyDescent="0.25">
      <c r="A638" s="12" t="s">
        <v>42</v>
      </c>
      <c r="B638" s="12">
        <v>35</v>
      </c>
      <c r="C638" s="12">
        <v>5</v>
      </c>
      <c r="D638" s="12">
        <v>3.2</v>
      </c>
      <c r="E638" s="2">
        <v>1799130</v>
      </c>
      <c r="F638" s="16">
        <v>1882</v>
      </c>
      <c r="G638" s="1">
        <f t="shared" si="206"/>
        <v>1.0460611517789154E-3</v>
      </c>
      <c r="H638" s="23"/>
      <c r="I638" s="22"/>
      <c r="J638" s="23"/>
      <c r="K638" s="23"/>
    </row>
    <row r="639" spans="1:11" x14ac:dyDescent="0.25">
      <c r="A639" s="12" t="s">
        <v>42</v>
      </c>
      <c r="B639" s="12">
        <v>35</v>
      </c>
      <c r="C639" s="12">
        <v>5</v>
      </c>
      <c r="D639" s="12">
        <v>3.3</v>
      </c>
      <c r="E639" s="2">
        <v>1849180</v>
      </c>
      <c r="F639" s="16">
        <v>882</v>
      </c>
      <c r="G639" s="1">
        <f t="shared" si="206"/>
        <v>4.769681696752074E-4</v>
      </c>
      <c r="H639" s="23"/>
      <c r="I639" s="22"/>
      <c r="J639" s="23"/>
      <c r="K639" s="23"/>
    </row>
    <row r="640" spans="1:11" x14ac:dyDescent="0.25">
      <c r="A640" s="12" t="s">
        <v>42</v>
      </c>
      <c r="B640" s="12">
        <v>35</v>
      </c>
      <c r="C640" s="12">
        <v>5</v>
      </c>
      <c r="D640" s="12">
        <v>4.0999999999999996</v>
      </c>
      <c r="E640" s="2">
        <v>1819345</v>
      </c>
      <c r="F640" s="16">
        <v>1267</v>
      </c>
      <c r="G640" s="1">
        <f t="shared" si="206"/>
        <v>6.9640447523696715E-4</v>
      </c>
      <c r="H640" s="23">
        <f t="shared" si="212"/>
        <v>6.1151192623530278E-4</v>
      </c>
      <c r="I640" s="22" t="s">
        <v>87</v>
      </c>
      <c r="J640" s="23"/>
      <c r="K640" s="23"/>
    </row>
    <row r="641" spans="1:11" x14ac:dyDescent="0.25">
      <c r="A641" s="12" t="s">
        <v>42</v>
      </c>
      <c r="B641" s="12">
        <v>35</v>
      </c>
      <c r="C641" s="12">
        <v>5</v>
      </c>
      <c r="D641" s="12">
        <v>4.2</v>
      </c>
      <c r="E641" s="2">
        <v>1936522</v>
      </c>
      <c r="F641" s="16">
        <v>1873</v>
      </c>
      <c r="G641" s="1">
        <f t="shared" si="206"/>
        <v>9.671978939562783E-4</v>
      </c>
      <c r="H641" s="23"/>
      <c r="I641" s="22"/>
      <c r="J641" s="23"/>
      <c r="K641" s="23"/>
    </row>
    <row r="642" spans="1:11" x14ac:dyDescent="0.25">
      <c r="A642" s="12" t="s">
        <v>42</v>
      </c>
      <c r="B642" s="12">
        <v>35</v>
      </c>
      <c r="C642" s="12">
        <v>5</v>
      </c>
      <c r="D642" s="12">
        <v>4.3</v>
      </c>
      <c r="E642" s="2">
        <v>1378947</v>
      </c>
      <c r="F642" s="16">
        <v>0</v>
      </c>
      <c r="G642" s="1">
        <f t="shared" ref="G642:G678" si="213">F642/E642</f>
        <v>0</v>
      </c>
      <c r="H642" s="23"/>
      <c r="I642" s="22"/>
      <c r="J642" s="23"/>
      <c r="K642" s="23"/>
    </row>
    <row r="643" spans="1:11" x14ac:dyDescent="0.25">
      <c r="A643" s="12" t="s">
        <v>40</v>
      </c>
      <c r="B643" s="12">
        <v>35</v>
      </c>
      <c r="C643" s="12">
        <v>5</v>
      </c>
      <c r="D643" s="12">
        <v>1.1000000000000001</v>
      </c>
      <c r="E643" s="2">
        <v>2892548</v>
      </c>
      <c r="F643" s="16">
        <f>19489+7518+423+507</f>
        <v>27937</v>
      </c>
      <c r="G643" s="1">
        <f t="shared" si="213"/>
        <v>9.6582666908206875E-3</v>
      </c>
      <c r="H643" s="23">
        <f t="shared" si="212"/>
        <v>2.1724549480682167E-2</v>
      </c>
      <c r="I643" s="22" t="s">
        <v>87</v>
      </c>
      <c r="J643" s="23">
        <f t="shared" ref="J643" si="214">AVERAGE(G643:G651)</f>
        <v>1.1518983575391387E-2</v>
      </c>
      <c r="K643" s="23"/>
    </row>
    <row r="644" spans="1:11" x14ac:dyDescent="0.25">
      <c r="A644" s="12" t="s">
        <v>40</v>
      </c>
      <c r="B644" s="12">
        <v>35</v>
      </c>
      <c r="C644" s="12">
        <v>5</v>
      </c>
      <c r="D644" s="12">
        <v>1.2</v>
      </c>
      <c r="E644" s="2">
        <v>2233323</v>
      </c>
      <c r="F644" s="16">
        <f>3230+3746+21292+1898+8151</f>
        <v>38317</v>
      </c>
      <c r="G644" s="1">
        <f t="shared" si="213"/>
        <v>1.7156945054521894E-2</v>
      </c>
      <c r="H644" s="23"/>
      <c r="I644" s="22"/>
      <c r="J644" s="23"/>
      <c r="K644" s="23"/>
    </row>
    <row r="645" spans="1:11" x14ac:dyDescent="0.25">
      <c r="A645" s="12" t="s">
        <v>40</v>
      </c>
      <c r="B645" s="12">
        <v>35</v>
      </c>
      <c r="C645" s="12">
        <v>5</v>
      </c>
      <c r="D645" s="12">
        <v>1.3</v>
      </c>
      <c r="E645" s="2">
        <v>2579237</v>
      </c>
      <c r="F645" s="16">
        <f>540+7821+10763+221+24189+28144+7083+6599+15369+407</f>
        <v>101136</v>
      </c>
      <c r="G645" s="1">
        <f t="shared" si="213"/>
        <v>3.9211596297664776E-2</v>
      </c>
      <c r="H645" s="23"/>
      <c r="I645" s="22"/>
      <c r="J645" s="23"/>
      <c r="K645" s="23"/>
    </row>
    <row r="646" spans="1:11" x14ac:dyDescent="0.25">
      <c r="A646" s="12" t="s">
        <v>40</v>
      </c>
      <c r="B646" s="12">
        <v>35</v>
      </c>
      <c r="C646" s="12">
        <v>5</v>
      </c>
      <c r="D646" s="12">
        <v>2.1</v>
      </c>
      <c r="E646" s="2">
        <v>944807</v>
      </c>
      <c r="F646" s="16">
        <f>18435+1261</f>
        <v>19696</v>
      </c>
      <c r="G646" s="1">
        <f t="shared" si="213"/>
        <v>2.0846585598963598E-2</v>
      </c>
      <c r="H646" s="23">
        <f t="shared" si="212"/>
        <v>1.3220768836646838E-2</v>
      </c>
      <c r="I646" s="22" t="s">
        <v>87</v>
      </c>
      <c r="J646" s="23"/>
      <c r="K646" s="23"/>
    </row>
    <row r="647" spans="1:11" x14ac:dyDescent="0.25">
      <c r="A647" s="12" t="s">
        <v>40</v>
      </c>
      <c r="B647" s="12">
        <v>35</v>
      </c>
      <c r="C647" s="12">
        <v>5</v>
      </c>
      <c r="D647" s="12">
        <v>2.2000000000000002</v>
      </c>
      <c r="E647" s="2">
        <v>699459</v>
      </c>
      <c r="F647" s="16">
        <f>604+1475+278+948+95+89</f>
        <v>3489</v>
      </c>
      <c r="G647" s="1">
        <f t="shared" si="213"/>
        <v>4.9881408345592805E-3</v>
      </c>
      <c r="H647" s="23"/>
      <c r="I647" s="22"/>
      <c r="J647" s="23"/>
      <c r="K647" s="23"/>
    </row>
    <row r="648" spans="1:11" x14ac:dyDescent="0.25">
      <c r="A648" s="12" t="s">
        <v>40</v>
      </c>
      <c r="B648" s="12">
        <v>35</v>
      </c>
      <c r="C648" s="12">
        <v>5</v>
      </c>
      <c r="D648" s="12">
        <v>2.2999999999999998</v>
      </c>
      <c r="E648" s="2">
        <v>772008</v>
      </c>
      <c r="F648" s="16">
        <v>8760</v>
      </c>
      <c r="G648" s="1">
        <f t="shared" si="213"/>
        <v>1.1347032673236546E-2</v>
      </c>
      <c r="H648" s="23"/>
      <c r="I648" s="22"/>
      <c r="J648" s="23"/>
      <c r="K648" s="23"/>
    </row>
    <row r="649" spans="1:11" x14ac:dyDescent="0.25">
      <c r="A649" s="12" t="s">
        <v>40</v>
      </c>
      <c r="B649" s="12">
        <v>35</v>
      </c>
      <c r="C649" s="12">
        <v>5</v>
      </c>
      <c r="D649" s="12">
        <v>3.1</v>
      </c>
      <c r="E649" s="2">
        <v>1148642</v>
      </c>
      <c r="F649" s="16">
        <v>531</v>
      </c>
      <c r="G649" s="1">
        <f t="shared" si="213"/>
        <v>4.6228502875569585E-4</v>
      </c>
      <c r="H649" s="23">
        <f t="shared" si="212"/>
        <v>1.834075253040213E-4</v>
      </c>
      <c r="I649" s="22" t="s">
        <v>86</v>
      </c>
      <c r="J649" s="23"/>
      <c r="K649" s="23"/>
    </row>
    <row r="650" spans="1:11" x14ac:dyDescent="0.25">
      <c r="A650" s="12" t="s">
        <v>40</v>
      </c>
      <c r="B650" s="12">
        <v>35</v>
      </c>
      <c r="C650" s="12">
        <v>5</v>
      </c>
      <c r="D650" s="12">
        <v>3.2</v>
      </c>
      <c r="E650" s="2">
        <v>706165</v>
      </c>
      <c r="F650" s="16">
        <v>0</v>
      </c>
      <c r="G650" s="1">
        <f t="shared" si="213"/>
        <v>0</v>
      </c>
      <c r="H650" s="23"/>
      <c r="I650" s="22"/>
      <c r="J650" s="23"/>
      <c r="K650" s="23"/>
    </row>
    <row r="651" spans="1:11" x14ac:dyDescent="0.25">
      <c r="A651" s="12" t="s">
        <v>40</v>
      </c>
      <c r="B651" s="12">
        <v>35</v>
      </c>
      <c r="C651" s="12">
        <v>5</v>
      </c>
      <c r="D651" s="12">
        <v>3.3</v>
      </c>
      <c r="E651" s="2">
        <v>1040385</v>
      </c>
      <c r="F651" s="16">
        <v>0</v>
      </c>
      <c r="G651" s="1">
        <f t="shared" si="213"/>
        <v>0</v>
      </c>
      <c r="H651" s="23"/>
      <c r="I651" s="22"/>
      <c r="J651" s="23"/>
      <c r="K651" s="23"/>
    </row>
    <row r="652" spans="1:11" x14ac:dyDescent="0.25">
      <c r="A652" s="12" t="s">
        <v>37</v>
      </c>
      <c r="B652" s="12">
        <v>45</v>
      </c>
      <c r="C652" s="12">
        <v>5</v>
      </c>
      <c r="D652" s="12">
        <v>1.1000000000000001</v>
      </c>
      <c r="E652" s="2">
        <v>916894</v>
      </c>
      <c r="F652" s="16">
        <f>1437+301+187+1881+919+1185</f>
        <v>5910</v>
      </c>
      <c r="G652" s="1">
        <f t="shared" si="213"/>
        <v>6.44567420007111E-3</v>
      </c>
      <c r="H652" s="23">
        <f t="shared" si="212"/>
        <v>1.5477658175256044E-2</v>
      </c>
      <c r="I652" s="22" t="s">
        <v>87</v>
      </c>
      <c r="J652" s="23">
        <f t="shared" ref="J652" si="215">AVERAGE(G652:G660)</f>
        <v>2.239316811380708E-2</v>
      </c>
      <c r="K652" s="23">
        <f>AVERAGE(G652:G678)</f>
        <v>1.086609306076816E-2</v>
      </c>
    </row>
    <row r="653" spans="1:11" x14ac:dyDescent="0.25">
      <c r="A653" s="12" t="s">
        <v>37</v>
      </c>
      <c r="B653" s="12">
        <v>45</v>
      </c>
      <c r="C653" s="12">
        <v>5</v>
      </c>
      <c r="D653" s="12">
        <v>1.2</v>
      </c>
      <c r="E653" s="2">
        <v>679300</v>
      </c>
      <c r="F653" s="16">
        <v>19850</v>
      </c>
      <c r="G653" s="1">
        <f t="shared" si="213"/>
        <v>2.9221257176505228E-2</v>
      </c>
      <c r="H653" s="23"/>
      <c r="I653" s="22"/>
      <c r="J653" s="23"/>
      <c r="K653" s="23"/>
    </row>
    <row r="654" spans="1:11" x14ac:dyDescent="0.25">
      <c r="A654" s="12" t="s">
        <v>37</v>
      </c>
      <c r="B654" s="12">
        <v>45</v>
      </c>
      <c r="C654" s="12">
        <v>5</v>
      </c>
      <c r="D654" s="12">
        <v>1.3</v>
      </c>
      <c r="E654" s="2">
        <v>394288</v>
      </c>
      <c r="F654" s="16">
        <v>5048</v>
      </c>
      <c r="G654" s="1">
        <f t="shared" si="213"/>
        <v>1.280282433145315E-2</v>
      </c>
      <c r="H654" s="23"/>
      <c r="I654" s="22"/>
      <c r="J654" s="23"/>
      <c r="K654" s="23"/>
    </row>
    <row r="655" spans="1:11" x14ac:dyDescent="0.25">
      <c r="A655" s="12" t="s">
        <v>37</v>
      </c>
      <c r="B655" s="12">
        <v>45</v>
      </c>
      <c r="C655" s="12">
        <v>5</v>
      </c>
      <c r="D655" s="12">
        <v>2.1</v>
      </c>
      <c r="E655" s="2">
        <v>271764</v>
      </c>
      <c r="F655" s="16">
        <v>1637</v>
      </c>
      <c r="G655" s="1">
        <f t="shared" si="213"/>
        <v>6.0236087193300068E-3</v>
      </c>
      <c r="H655" s="23">
        <f t="shared" si="212"/>
        <v>5.3119146318127954E-2</v>
      </c>
      <c r="I655" s="22" t="s">
        <v>87</v>
      </c>
      <c r="J655" s="23"/>
      <c r="K655" s="23"/>
    </row>
    <row r="656" spans="1:11" x14ac:dyDescent="0.25">
      <c r="A656" s="12" t="s">
        <v>37</v>
      </c>
      <c r="B656" s="12">
        <v>45</v>
      </c>
      <c r="C656" s="12">
        <v>5</v>
      </c>
      <c r="D656" s="12">
        <v>2.2000000000000002</v>
      </c>
      <c r="E656" s="2">
        <v>394266</v>
      </c>
      <c r="F656" s="16">
        <f>1221+7830+23071</f>
        <v>32122</v>
      </c>
      <c r="G656" s="1">
        <f t="shared" si="213"/>
        <v>8.1472914225421411E-2</v>
      </c>
      <c r="H656" s="23"/>
      <c r="I656" s="22"/>
      <c r="J656" s="23"/>
      <c r="K656" s="23"/>
    </row>
    <row r="657" spans="1:11" x14ac:dyDescent="0.25">
      <c r="A657" s="12" t="s">
        <v>37</v>
      </c>
      <c r="B657" s="12">
        <v>45</v>
      </c>
      <c r="C657" s="12">
        <v>5</v>
      </c>
      <c r="D657" s="12">
        <v>2.2999999999999998</v>
      </c>
      <c r="E657" s="2">
        <v>499369</v>
      </c>
      <c r="F657" s="16">
        <f>1369+182+13119+4409+1534+4816+2717</f>
        <v>28146</v>
      </c>
      <c r="G657" s="1">
        <f t="shared" si="213"/>
        <v>5.6363130270401247E-2</v>
      </c>
      <c r="H657" s="23"/>
      <c r="I657" s="22"/>
      <c r="J657" s="23"/>
      <c r="K657" s="23"/>
    </row>
    <row r="658" spans="1:11" x14ac:dyDescent="0.25">
      <c r="A658" s="12" t="s">
        <v>37</v>
      </c>
      <c r="B658" s="12">
        <v>45</v>
      </c>
      <c r="C658" s="12">
        <v>5</v>
      </c>
      <c r="D658" s="12">
        <v>3.1</v>
      </c>
      <c r="E658" s="2">
        <v>2345797</v>
      </c>
      <c r="F658" s="16">
        <f>7623+2003</f>
        <v>9626</v>
      </c>
      <c r="G658" s="1">
        <f t="shared" si="213"/>
        <v>4.1035093829517215E-3</v>
      </c>
      <c r="H658" s="23">
        <f t="shared" si="212"/>
        <v>3.0810405407143073E-3</v>
      </c>
      <c r="I658" s="22" t="s">
        <v>87</v>
      </c>
      <c r="J658" s="23"/>
      <c r="K658" s="23"/>
    </row>
    <row r="659" spans="1:11" x14ac:dyDescent="0.25">
      <c r="A659" s="12" t="s">
        <v>37</v>
      </c>
      <c r="B659" s="12">
        <v>45</v>
      </c>
      <c r="C659" s="12">
        <v>5</v>
      </c>
      <c r="D659" s="12">
        <v>3.2</v>
      </c>
      <c r="E659" s="2">
        <v>2270962</v>
      </c>
      <c r="F659" s="16">
        <f>384+1777+982+876+529</f>
        <v>4548</v>
      </c>
      <c r="G659" s="1">
        <f t="shared" si="213"/>
        <v>2.0026755181284405E-3</v>
      </c>
      <c r="H659" s="23"/>
      <c r="I659" s="22"/>
      <c r="J659" s="23"/>
      <c r="K659" s="23"/>
    </row>
    <row r="660" spans="1:11" x14ac:dyDescent="0.25">
      <c r="A660" s="12" t="s">
        <v>37</v>
      </c>
      <c r="B660" s="12">
        <v>45</v>
      </c>
      <c r="C660" s="12">
        <v>5</v>
      </c>
      <c r="D660" s="12">
        <v>3.3</v>
      </c>
      <c r="E660" s="2">
        <v>2304604</v>
      </c>
      <c r="F660" s="16">
        <v>7151</v>
      </c>
      <c r="G660" s="1">
        <f t="shared" si="213"/>
        <v>3.1029192000013887E-3</v>
      </c>
      <c r="H660" s="23"/>
      <c r="I660" s="22"/>
      <c r="J660" s="23"/>
      <c r="K660" s="23"/>
    </row>
    <row r="661" spans="1:11" x14ac:dyDescent="0.25">
      <c r="A661" s="12" t="s">
        <v>39</v>
      </c>
      <c r="B661" s="12">
        <v>45</v>
      </c>
      <c r="C661" s="12">
        <v>5</v>
      </c>
      <c r="D661" s="12">
        <v>1.1000000000000001</v>
      </c>
      <c r="E661" s="2">
        <v>1552195</v>
      </c>
      <c r="F661" s="16">
        <v>440</v>
      </c>
      <c r="G661" s="1">
        <f t="shared" si="213"/>
        <v>2.8346953829898948E-4</v>
      </c>
      <c r="H661" s="23">
        <f t="shared" si="212"/>
        <v>8.4567622542951323E-4</v>
      </c>
      <c r="I661" s="22" t="s">
        <v>86</v>
      </c>
      <c r="J661" s="23">
        <f t="shared" ref="J661" si="216">AVERAGE(G661:G669)</f>
        <v>2.9418243606004666E-3</v>
      </c>
      <c r="K661" s="23"/>
    </row>
    <row r="662" spans="1:11" x14ac:dyDescent="0.25">
      <c r="A662" s="12" t="s">
        <v>39</v>
      </c>
      <c r="B662" s="12">
        <v>45</v>
      </c>
      <c r="C662" s="12">
        <v>5</v>
      </c>
      <c r="D662" s="12">
        <v>1.2</v>
      </c>
      <c r="E662" s="2">
        <v>2057782</v>
      </c>
      <c r="F662" s="16">
        <v>0</v>
      </c>
      <c r="G662" s="1">
        <f t="shared" si="213"/>
        <v>0</v>
      </c>
      <c r="H662" s="23"/>
      <c r="I662" s="22"/>
      <c r="J662" s="23"/>
      <c r="K662" s="23"/>
    </row>
    <row r="663" spans="1:11" x14ac:dyDescent="0.25">
      <c r="A663" s="12" t="s">
        <v>39</v>
      </c>
      <c r="B663" s="12">
        <v>45</v>
      </c>
      <c r="C663" s="12">
        <v>5</v>
      </c>
      <c r="D663" s="12">
        <v>1.3</v>
      </c>
      <c r="E663" s="2">
        <v>1539748</v>
      </c>
      <c r="F663" s="16">
        <f>1285+2350+154+126</f>
        <v>3915</v>
      </c>
      <c r="G663" s="1">
        <f t="shared" si="213"/>
        <v>2.5426238579299991E-3</v>
      </c>
      <c r="H663" s="23"/>
      <c r="I663" s="22"/>
      <c r="J663" s="23"/>
      <c r="K663" s="23"/>
    </row>
    <row r="664" spans="1:11" x14ac:dyDescent="0.25">
      <c r="A664" s="12" t="s">
        <v>39</v>
      </c>
      <c r="B664" s="12">
        <v>45</v>
      </c>
      <c r="C664" s="12">
        <v>5</v>
      </c>
      <c r="D664" s="12">
        <v>2.1</v>
      </c>
      <c r="E664" s="2">
        <v>1100123</v>
      </c>
      <c r="F664" s="16">
        <v>7546</v>
      </c>
      <c r="G664" s="1">
        <f t="shared" si="213"/>
        <v>6.8592330130358148E-3</v>
      </c>
      <c r="H664" s="23">
        <f t="shared" si="212"/>
        <v>4.3171948658795919E-3</v>
      </c>
      <c r="I664" s="22" t="s">
        <v>87</v>
      </c>
      <c r="J664" s="23"/>
      <c r="K664" s="23"/>
    </row>
    <row r="665" spans="1:11" x14ac:dyDescent="0.25">
      <c r="A665" s="12" t="s">
        <v>39</v>
      </c>
      <c r="B665" s="12">
        <v>45</v>
      </c>
      <c r="C665" s="12">
        <v>5</v>
      </c>
      <c r="D665" s="12">
        <v>2.2000000000000002</v>
      </c>
      <c r="E665" s="2">
        <v>838510</v>
      </c>
      <c r="F665" s="16">
        <v>960</v>
      </c>
      <c r="G665" s="1">
        <f t="shared" si="213"/>
        <v>1.1448879560172209E-3</v>
      </c>
      <c r="H665" s="23"/>
      <c r="I665" s="22"/>
      <c r="J665" s="23"/>
      <c r="K665" s="23"/>
    </row>
    <row r="666" spans="1:11" x14ac:dyDescent="0.25">
      <c r="A666" s="12" t="s">
        <v>39</v>
      </c>
      <c r="B666" s="12">
        <v>45</v>
      </c>
      <c r="C666" s="12">
        <v>5</v>
      </c>
      <c r="D666" s="12">
        <v>2.2999999999999998</v>
      </c>
      <c r="E666" s="2">
        <v>1054051</v>
      </c>
      <c r="F666" s="16">
        <v>4414</v>
      </c>
      <c r="G666" s="1">
        <f t="shared" si="213"/>
        <v>4.1876531590976148E-3</v>
      </c>
      <c r="H666" s="23"/>
      <c r="I666" s="22"/>
      <c r="J666" s="23"/>
      <c r="K666" s="23"/>
    </row>
    <row r="667" spans="1:11" x14ac:dyDescent="0.25">
      <c r="A667" s="12" t="s">
        <v>39</v>
      </c>
      <c r="B667" s="12">
        <v>45</v>
      </c>
      <c r="C667" s="12">
        <v>5</v>
      </c>
      <c r="D667" s="12">
        <v>3.1</v>
      </c>
      <c r="E667" s="2">
        <v>1370439</v>
      </c>
      <c r="F667" s="16">
        <v>3647</v>
      </c>
      <c r="G667" s="1">
        <f t="shared" si="213"/>
        <v>2.6611910489996271E-3</v>
      </c>
      <c r="H667" s="23">
        <f t="shared" si="212"/>
        <v>4.0767478859248703E-3</v>
      </c>
      <c r="I667" s="22" t="s">
        <v>87</v>
      </c>
      <c r="J667" s="23"/>
      <c r="K667" s="23"/>
    </row>
    <row r="668" spans="1:11" x14ac:dyDescent="0.25">
      <c r="A668" s="12" t="s">
        <v>39</v>
      </c>
      <c r="B668" s="12">
        <v>45</v>
      </c>
      <c r="C668" s="12">
        <v>5</v>
      </c>
      <c r="D668" s="12">
        <v>3.2</v>
      </c>
      <c r="E668" s="2">
        <v>1669819</v>
      </c>
      <c r="F668" s="16">
        <v>14690</v>
      </c>
      <c r="G668" s="1">
        <f t="shared" si="213"/>
        <v>8.7973606720249328E-3</v>
      </c>
      <c r="H668" s="23"/>
      <c r="I668" s="22"/>
      <c r="J668" s="23"/>
      <c r="K668" s="23"/>
    </row>
    <row r="669" spans="1:11" x14ac:dyDescent="0.25">
      <c r="A669" s="12" t="s">
        <v>39</v>
      </c>
      <c r="B669" s="12">
        <v>45</v>
      </c>
      <c r="C669" s="12">
        <v>5</v>
      </c>
      <c r="D669" s="12">
        <v>3.3</v>
      </c>
      <c r="E669" s="2">
        <v>1457690</v>
      </c>
      <c r="F669" s="16">
        <v>0</v>
      </c>
      <c r="G669" s="1">
        <f t="shared" si="213"/>
        <v>0</v>
      </c>
      <c r="H669" s="23"/>
      <c r="I669" s="22"/>
      <c r="J669" s="23"/>
      <c r="K669" s="23"/>
    </row>
    <row r="670" spans="1:11" x14ac:dyDescent="0.25">
      <c r="A670" s="12" t="s">
        <v>38</v>
      </c>
      <c r="B670" s="12">
        <v>45</v>
      </c>
      <c r="C670" s="12">
        <v>5</v>
      </c>
      <c r="D670" s="12">
        <v>1.1000000000000001</v>
      </c>
      <c r="E670" s="2">
        <v>2048361</v>
      </c>
      <c r="F670" s="16">
        <v>21642</v>
      </c>
      <c r="G670" s="1">
        <f t="shared" si="213"/>
        <v>1.0565520433165833E-2</v>
      </c>
      <c r="H670" s="23">
        <f t="shared" si="212"/>
        <v>1.3984604739342836E-2</v>
      </c>
      <c r="I670" s="22" t="s">
        <v>87</v>
      </c>
      <c r="J670" s="23">
        <f t="shared" ref="J670" si="217">AVERAGE(G670:G678)</f>
        <v>7.2632867078969328E-3</v>
      </c>
      <c r="K670" s="23"/>
    </row>
    <row r="671" spans="1:11" x14ac:dyDescent="0.25">
      <c r="A671" s="12" t="s">
        <v>38</v>
      </c>
      <c r="B671" s="12">
        <v>45</v>
      </c>
      <c r="C671" s="12">
        <v>5</v>
      </c>
      <c r="D671" s="12">
        <v>1.2</v>
      </c>
      <c r="E671" s="2">
        <v>1718861</v>
      </c>
      <c r="F671" s="16">
        <v>22416</v>
      </c>
      <c r="G671" s="1">
        <f t="shared" si="213"/>
        <v>1.3041194139607566E-2</v>
      </c>
      <c r="H671" s="23"/>
      <c r="I671" s="22"/>
      <c r="J671" s="23"/>
      <c r="K671" s="23"/>
    </row>
    <row r="672" spans="1:11" x14ac:dyDescent="0.25">
      <c r="A672" s="12" t="s">
        <v>38</v>
      </c>
      <c r="B672" s="12">
        <v>45</v>
      </c>
      <c r="C672" s="12">
        <v>5</v>
      </c>
      <c r="D672" s="12">
        <v>1.3</v>
      </c>
      <c r="E672" s="2">
        <v>1611836</v>
      </c>
      <c r="F672" s="16">
        <v>31166</v>
      </c>
      <c r="G672" s="1">
        <f t="shared" si="213"/>
        <v>1.9335714055276097E-2</v>
      </c>
      <c r="H672" s="23"/>
      <c r="I672" s="22"/>
      <c r="J672" s="23"/>
      <c r="K672" s="23"/>
    </row>
    <row r="673" spans="1:11" x14ac:dyDescent="0.25">
      <c r="A673" s="12" t="s">
        <v>38</v>
      </c>
      <c r="B673" s="12">
        <v>45</v>
      </c>
      <c r="C673" s="12">
        <v>5</v>
      </c>
      <c r="D673" s="12">
        <v>2.1</v>
      </c>
      <c r="E673" s="2">
        <v>1282323</v>
      </c>
      <c r="F673" s="16">
        <v>0</v>
      </c>
      <c r="G673" s="1">
        <f t="shared" si="213"/>
        <v>0</v>
      </c>
      <c r="H673" s="23">
        <f t="shared" si="212"/>
        <v>0</v>
      </c>
      <c r="I673" s="22" t="s">
        <v>87</v>
      </c>
      <c r="J673" s="23"/>
      <c r="K673" s="23"/>
    </row>
    <row r="674" spans="1:11" x14ac:dyDescent="0.25">
      <c r="A674" s="12" t="s">
        <v>38</v>
      </c>
      <c r="B674" s="12">
        <v>45</v>
      </c>
      <c r="C674" s="12">
        <v>5</v>
      </c>
      <c r="D674" s="12">
        <v>2.2000000000000002</v>
      </c>
      <c r="E674" s="2">
        <v>1071749</v>
      </c>
      <c r="F674" s="16">
        <v>0</v>
      </c>
      <c r="G674" s="1">
        <f t="shared" si="213"/>
        <v>0</v>
      </c>
      <c r="H674" s="23"/>
      <c r="I674" s="22"/>
      <c r="J674" s="23"/>
      <c r="K674" s="23"/>
    </row>
    <row r="675" spans="1:11" x14ac:dyDescent="0.25">
      <c r="A675" s="12" t="s">
        <v>38</v>
      </c>
      <c r="B675" s="12">
        <v>45</v>
      </c>
      <c r="C675" s="12">
        <v>5</v>
      </c>
      <c r="D675" s="12">
        <v>2.2999999999999998</v>
      </c>
      <c r="E675" s="2">
        <v>1225387</v>
      </c>
      <c r="F675" s="16">
        <v>0</v>
      </c>
      <c r="G675" s="1">
        <f t="shared" si="213"/>
        <v>0</v>
      </c>
      <c r="H675" s="23"/>
      <c r="I675" s="22"/>
      <c r="J675" s="23"/>
      <c r="K675" s="23"/>
    </row>
    <row r="676" spans="1:11" x14ac:dyDescent="0.25">
      <c r="A676" s="12" t="s">
        <v>38</v>
      </c>
      <c r="B676" s="12">
        <v>45</v>
      </c>
      <c r="C676" s="12">
        <v>5</v>
      </c>
      <c r="D676" s="12">
        <v>3.1</v>
      </c>
      <c r="E676" s="2">
        <v>970337</v>
      </c>
      <c r="F676" s="16">
        <v>18570</v>
      </c>
      <c r="G676" s="1">
        <f t="shared" si="213"/>
        <v>1.913768103246604E-2</v>
      </c>
      <c r="H676" s="23">
        <f t="shared" si="212"/>
        <v>6.8808216210706052E-3</v>
      </c>
      <c r="I676" s="22" t="s">
        <v>87</v>
      </c>
      <c r="J676" s="23"/>
      <c r="K676" s="23"/>
    </row>
    <row r="677" spans="1:11" x14ac:dyDescent="0.25">
      <c r="A677" s="12" t="s">
        <v>38</v>
      </c>
      <c r="B677" s="12">
        <v>45</v>
      </c>
      <c r="C677" s="12">
        <v>5</v>
      </c>
      <c r="D677" s="12">
        <v>3.2</v>
      </c>
      <c r="E677" s="2">
        <v>1216909</v>
      </c>
      <c r="F677" s="16">
        <v>1178</v>
      </c>
      <c r="G677" s="1">
        <f t="shared" si="213"/>
        <v>9.6802636844661347E-4</v>
      </c>
      <c r="H677" s="23"/>
      <c r="I677" s="22"/>
      <c r="J677" s="23"/>
      <c r="K677" s="23"/>
    </row>
    <row r="678" spans="1:11" x14ac:dyDescent="0.25">
      <c r="A678" s="12" t="s">
        <v>38</v>
      </c>
      <c r="B678" s="12">
        <v>45</v>
      </c>
      <c r="C678" s="12">
        <v>5</v>
      </c>
      <c r="D678" s="12">
        <v>3.3</v>
      </c>
      <c r="E678" s="2">
        <v>1030393</v>
      </c>
      <c r="F678" s="16">
        <v>2392</v>
      </c>
      <c r="G678" s="1">
        <f t="shared" si="213"/>
        <v>2.3214443421102435E-3</v>
      </c>
      <c r="H678" s="23"/>
      <c r="I678" s="22"/>
      <c r="J678" s="23"/>
      <c r="K678" s="23"/>
    </row>
    <row r="679" spans="1:11" x14ac:dyDescent="0.25">
      <c r="J679" s="19"/>
      <c r="K679" s="19"/>
    </row>
    <row r="680" spans="1:11" x14ac:dyDescent="0.25">
      <c r="K680" s="19"/>
    </row>
    <row r="681" spans="1:11" x14ac:dyDescent="0.25">
      <c r="K681" s="19"/>
    </row>
    <row r="682" spans="1:11" x14ac:dyDescent="0.25">
      <c r="K682" s="19"/>
    </row>
    <row r="683" spans="1:11" x14ac:dyDescent="0.25">
      <c r="K683" s="19"/>
    </row>
    <row r="684" spans="1:11" x14ac:dyDescent="0.25">
      <c r="K684" s="19"/>
    </row>
    <row r="685" spans="1:11" x14ac:dyDescent="0.25">
      <c r="K685" s="19"/>
    </row>
    <row r="686" spans="1:11" x14ac:dyDescent="0.25">
      <c r="K686" s="19"/>
    </row>
    <row r="687" spans="1:11" x14ac:dyDescent="0.25">
      <c r="K687" s="19"/>
    </row>
    <row r="688" spans="1:11" x14ac:dyDescent="0.25">
      <c r="K688" s="19"/>
    </row>
    <row r="689" spans="11:11" x14ac:dyDescent="0.25">
      <c r="K689" s="19"/>
    </row>
    <row r="690" spans="11:11" x14ac:dyDescent="0.25">
      <c r="K690" s="19"/>
    </row>
    <row r="691" spans="11:11" x14ac:dyDescent="0.25">
      <c r="K691" s="19"/>
    </row>
    <row r="692" spans="11:11" x14ac:dyDescent="0.25">
      <c r="K692" s="19"/>
    </row>
    <row r="693" spans="11:11" x14ac:dyDescent="0.25">
      <c r="K693" s="19"/>
    </row>
    <row r="694" spans="11:11" x14ac:dyDescent="0.25">
      <c r="K694" s="19"/>
    </row>
    <row r="695" spans="11:11" x14ac:dyDescent="0.25">
      <c r="K695" s="19"/>
    </row>
    <row r="696" spans="11:11" x14ac:dyDescent="0.25">
      <c r="K696" s="19"/>
    </row>
    <row r="697" spans="11:11" x14ac:dyDescent="0.25">
      <c r="K697" s="19"/>
    </row>
  </sheetData>
  <sortState ref="D2:H697">
    <sortCondition ref="D2:D697"/>
  </sortState>
  <mergeCells count="552">
    <mergeCell ref="H676:H678"/>
    <mergeCell ref="H649:H651"/>
    <mergeCell ref="H652:H654"/>
    <mergeCell ref="H655:H657"/>
    <mergeCell ref="H658:H660"/>
    <mergeCell ref="H661:H663"/>
    <mergeCell ref="H664:H666"/>
    <mergeCell ref="H667:H669"/>
    <mergeCell ref="H670:H672"/>
    <mergeCell ref="H673:H675"/>
    <mergeCell ref="H622:H624"/>
    <mergeCell ref="H625:H627"/>
    <mergeCell ref="H628:H630"/>
    <mergeCell ref="H631:H633"/>
    <mergeCell ref="H634:H636"/>
    <mergeCell ref="H637:H639"/>
    <mergeCell ref="H640:H642"/>
    <mergeCell ref="H643:H645"/>
    <mergeCell ref="H646:H648"/>
    <mergeCell ref="H595:H597"/>
    <mergeCell ref="H598:H600"/>
    <mergeCell ref="H601:H603"/>
    <mergeCell ref="H604:H606"/>
    <mergeCell ref="H607:H609"/>
    <mergeCell ref="H610:H612"/>
    <mergeCell ref="H613:H615"/>
    <mergeCell ref="H616:H618"/>
    <mergeCell ref="H619:H621"/>
    <mergeCell ref="H568:H570"/>
    <mergeCell ref="H571:H573"/>
    <mergeCell ref="H574:H576"/>
    <mergeCell ref="H577:H579"/>
    <mergeCell ref="H580:H582"/>
    <mergeCell ref="H583:H585"/>
    <mergeCell ref="H586:H588"/>
    <mergeCell ref="H589:H591"/>
    <mergeCell ref="H592:H594"/>
    <mergeCell ref="H541:H543"/>
    <mergeCell ref="H544:H546"/>
    <mergeCell ref="H547:H549"/>
    <mergeCell ref="H550:H552"/>
    <mergeCell ref="H553:H555"/>
    <mergeCell ref="H556:H558"/>
    <mergeCell ref="H559:H561"/>
    <mergeCell ref="H562:H564"/>
    <mergeCell ref="H565:H567"/>
    <mergeCell ref="H514:H516"/>
    <mergeCell ref="H517:H519"/>
    <mergeCell ref="H520:H522"/>
    <mergeCell ref="H523:H525"/>
    <mergeCell ref="H526:H528"/>
    <mergeCell ref="H529:H531"/>
    <mergeCell ref="H532:H534"/>
    <mergeCell ref="H535:H537"/>
    <mergeCell ref="H538:H540"/>
    <mergeCell ref="H487:H489"/>
    <mergeCell ref="H490:H492"/>
    <mergeCell ref="H493:H495"/>
    <mergeCell ref="H496:H498"/>
    <mergeCell ref="H499:H501"/>
    <mergeCell ref="H502:H504"/>
    <mergeCell ref="H505:H507"/>
    <mergeCell ref="H508:H510"/>
    <mergeCell ref="H511:H513"/>
    <mergeCell ref="H460:H462"/>
    <mergeCell ref="H463:H465"/>
    <mergeCell ref="H466:H468"/>
    <mergeCell ref="H469:H471"/>
    <mergeCell ref="H472:H474"/>
    <mergeCell ref="H475:H477"/>
    <mergeCell ref="H478:H480"/>
    <mergeCell ref="H481:H483"/>
    <mergeCell ref="H484:H486"/>
    <mergeCell ref="H433:H435"/>
    <mergeCell ref="H436:H438"/>
    <mergeCell ref="H439:H441"/>
    <mergeCell ref="H442:H444"/>
    <mergeCell ref="H445:H447"/>
    <mergeCell ref="H448:H450"/>
    <mergeCell ref="H451:H453"/>
    <mergeCell ref="H454:H456"/>
    <mergeCell ref="H457:H459"/>
    <mergeCell ref="H407:H409"/>
    <mergeCell ref="H410:H412"/>
    <mergeCell ref="H413:H415"/>
    <mergeCell ref="H416:H418"/>
    <mergeCell ref="H419:H421"/>
    <mergeCell ref="H422:H424"/>
    <mergeCell ref="H425:H427"/>
    <mergeCell ref="H428:H429"/>
    <mergeCell ref="H430:H432"/>
    <mergeCell ref="H380:H382"/>
    <mergeCell ref="H383:H385"/>
    <mergeCell ref="H386:H388"/>
    <mergeCell ref="H389:H391"/>
    <mergeCell ref="H392:H394"/>
    <mergeCell ref="H395:H397"/>
    <mergeCell ref="H398:H400"/>
    <mergeCell ref="H401:H403"/>
    <mergeCell ref="H404:H406"/>
    <mergeCell ref="H353:H355"/>
    <mergeCell ref="H356:H358"/>
    <mergeCell ref="H359:H361"/>
    <mergeCell ref="H362:H364"/>
    <mergeCell ref="H365:H367"/>
    <mergeCell ref="H368:H370"/>
    <mergeCell ref="H371:H373"/>
    <mergeCell ref="H374:H376"/>
    <mergeCell ref="H377:H379"/>
    <mergeCell ref="H326:H328"/>
    <mergeCell ref="H329:H331"/>
    <mergeCell ref="H332:H334"/>
    <mergeCell ref="H335:H337"/>
    <mergeCell ref="H338:H340"/>
    <mergeCell ref="H341:H343"/>
    <mergeCell ref="H344:H346"/>
    <mergeCell ref="H347:H349"/>
    <mergeCell ref="H350:H352"/>
    <mergeCell ref="H299:H301"/>
    <mergeCell ref="H302:H304"/>
    <mergeCell ref="H305:H307"/>
    <mergeCell ref="H308:H310"/>
    <mergeCell ref="H311:H313"/>
    <mergeCell ref="H314:H316"/>
    <mergeCell ref="H317:H319"/>
    <mergeCell ref="H320:H322"/>
    <mergeCell ref="H323:H325"/>
    <mergeCell ref="H272:H274"/>
    <mergeCell ref="H275:H277"/>
    <mergeCell ref="H278:H280"/>
    <mergeCell ref="H281:H283"/>
    <mergeCell ref="H284:H286"/>
    <mergeCell ref="H287:H289"/>
    <mergeCell ref="H290:H292"/>
    <mergeCell ref="H293:H295"/>
    <mergeCell ref="H296:H298"/>
    <mergeCell ref="H245:H247"/>
    <mergeCell ref="H248:H250"/>
    <mergeCell ref="H251:H253"/>
    <mergeCell ref="H254:H256"/>
    <mergeCell ref="H257:H259"/>
    <mergeCell ref="H260:H262"/>
    <mergeCell ref="H263:H265"/>
    <mergeCell ref="H266:H268"/>
    <mergeCell ref="H269:H271"/>
    <mergeCell ref="H218:H220"/>
    <mergeCell ref="H221:H223"/>
    <mergeCell ref="H224:H226"/>
    <mergeCell ref="H227:H229"/>
    <mergeCell ref="H230:H232"/>
    <mergeCell ref="H233:H235"/>
    <mergeCell ref="H236:H238"/>
    <mergeCell ref="H239:H241"/>
    <mergeCell ref="H242:H244"/>
    <mergeCell ref="H191:H193"/>
    <mergeCell ref="H194:H196"/>
    <mergeCell ref="H197:H199"/>
    <mergeCell ref="H200:H202"/>
    <mergeCell ref="H203:H205"/>
    <mergeCell ref="H206:H208"/>
    <mergeCell ref="H209:H211"/>
    <mergeCell ref="H212:H214"/>
    <mergeCell ref="H215:H217"/>
    <mergeCell ref="H164:H166"/>
    <mergeCell ref="H167:H169"/>
    <mergeCell ref="H170:H172"/>
    <mergeCell ref="H173:H175"/>
    <mergeCell ref="H176:H178"/>
    <mergeCell ref="H179:H181"/>
    <mergeCell ref="H182:H184"/>
    <mergeCell ref="H185:H187"/>
    <mergeCell ref="H188:H190"/>
    <mergeCell ref="H137:H139"/>
    <mergeCell ref="H140:H142"/>
    <mergeCell ref="H143:H145"/>
    <mergeCell ref="H146:H148"/>
    <mergeCell ref="H149:H151"/>
    <mergeCell ref="H152:H154"/>
    <mergeCell ref="H155:H157"/>
    <mergeCell ref="H158:H160"/>
    <mergeCell ref="H161:H163"/>
    <mergeCell ref="H110:H112"/>
    <mergeCell ref="H113:H115"/>
    <mergeCell ref="H116:H118"/>
    <mergeCell ref="H119:H121"/>
    <mergeCell ref="H122:H124"/>
    <mergeCell ref="H125:H127"/>
    <mergeCell ref="H128:H130"/>
    <mergeCell ref="H131:H133"/>
    <mergeCell ref="H134:H136"/>
    <mergeCell ref="H83:H85"/>
    <mergeCell ref="H86:H88"/>
    <mergeCell ref="H89:H91"/>
    <mergeCell ref="H92:H94"/>
    <mergeCell ref="H95:H97"/>
    <mergeCell ref="H98:H100"/>
    <mergeCell ref="H101:H103"/>
    <mergeCell ref="H104:H106"/>
    <mergeCell ref="H107:H109"/>
    <mergeCell ref="H56:H58"/>
    <mergeCell ref="H59:H61"/>
    <mergeCell ref="H62:H64"/>
    <mergeCell ref="H65:H67"/>
    <mergeCell ref="H68:H70"/>
    <mergeCell ref="H71:H73"/>
    <mergeCell ref="H74:H76"/>
    <mergeCell ref="H77:H79"/>
    <mergeCell ref="H80:H82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H2:H4"/>
    <mergeCell ref="H5:H7"/>
    <mergeCell ref="H8:H10"/>
    <mergeCell ref="H11:H13"/>
    <mergeCell ref="H14:H16"/>
    <mergeCell ref="H17:H19"/>
    <mergeCell ref="H20:H22"/>
    <mergeCell ref="H23:H25"/>
    <mergeCell ref="H26:H28"/>
    <mergeCell ref="J245:J253"/>
    <mergeCell ref="J254:J262"/>
    <mergeCell ref="J308:J316"/>
    <mergeCell ref="J317:J325"/>
    <mergeCell ref="J263:J271"/>
    <mergeCell ref="J272:J280"/>
    <mergeCell ref="J281:J289"/>
    <mergeCell ref="J290:J298"/>
    <mergeCell ref="J299:J307"/>
    <mergeCell ref="J191:J199"/>
    <mergeCell ref="J200:J208"/>
    <mergeCell ref="J209:J217"/>
    <mergeCell ref="J353:J361"/>
    <mergeCell ref="J362:J370"/>
    <mergeCell ref="J11:J19"/>
    <mergeCell ref="J2:J10"/>
    <mergeCell ref="K2:K28"/>
    <mergeCell ref="J101:J109"/>
    <mergeCell ref="J110:J118"/>
    <mergeCell ref="J56:J64"/>
    <mergeCell ref="J47:J55"/>
    <mergeCell ref="K29:K55"/>
    <mergeCell ref="J92:J100"/>
    <mergeCell ref="J83:J91"/>
    <mergeCell ref="J74:J82"/>
    <mergeCell ref="J65:J73"/>
    <mergeCell ref="J38:J46"/>
    <mergeCell ref="J29:J37"/>
    <mergeCell ref="K56:K82"/>
    <mergeCell ref="K83:K109"/>
    <mergeCell ref="J218:J226"/>
    <mergeCell ref="J227:J235"/>
    <mergeCell ref="J236:J244"/>
    <mergeCell ref="J20:J28"/>
    <mergeCell ref="J119:J127"/>
    <mergeCell ref="J128:J136"/>
    <mergeCell ref="J137:J145"/>
    <mergeCell ref="J146:J154"/>
    <mergeCell ref="J155:J163"/>
    <mergeCell ref="J164:J172"/>
    <mergeCell ref="J173:J181"/>
    <mergeCell ref="J182:J190"/>
    <mergeCell ref="K652:K678"/>
    <mergeCell ref="J604:J612"/>
    <mergeCell ref="J568:J576"/>
    <mergeCell ref="J577:J585"/>
    <mergeCell ref="J586:J594"/>
    <mergeCell ref="J595:J603"/>
    <mergeCell ref="J652:J660"/>
    <mergeCell ref="J661:J669"/>
    <mergeCell ref="J670:J678"/>
    <mergeCell ref="J643:J651"/>
    <mergeCell ref="J613:J621"/>
    <mergeCell ref="J622:J630"/>
    <mergeCell ref="K568:K594"/>
    <mergeCell ref="K595:K621"/>
    <mergeCell ref="J631:J642"/>
    <mergeCell ref="K622:K651"/>
    <mergeCell ref="K110:K136"/>
    <mergeCell ref="K137:K163"/>
    <mergeCell ref="K164:K190"/>
    <mergeCell ref="K326:K352"/>
    <mergeCell ref="K353:K379"/>
    <mergeCell ref="K191:K217"/>
    <mergeCell ref="K218:K244"/>
    <mergeCell ref="K245:K271"/>
    <mergeCell ref="K272:K298"/>
    <mergeCell ref="K299:K325"/>
    <mergeCell ref="J460:J468"/>
    <mergeCell ref="J469:J477"/>
    <mergeCell ref="K460:K486"/>
    <mergeCell ref="J478:J486"/>
    <mergeCell ref="J434:J441"/>
    <mergeCell ref="J442:J450"/>
    <mergeCell ref="J371:J379"/>
    <mergeCell ref="J326:J334"/>
    <mergeCell ref="J335:J343"/>
    <mergeCell ref="K434:K459"/>
    <mergeCell ref="J451:J459"/>
    <mergeCell ref="K380:K406"/>
    <mergeCell ref="J389:J397"/>
    <mergeCell ref="J398:J406"/>
    <mergeCell ref="J407:J415"/>
    <mergeCell ref="J416:J424"/>
    <mergeCell ref="K407:K433"/>
    <mergeCell ref="J425:J433"/>
    <mergeCell ref="J344:J352"/>
    <mergeCell ref="J380:J388"/>
    <mergeCell ref="K487:K513"/>
    <mergeCell ref="K514:K540"/>
    <mergeCell ref="K541:K567"/>
    <mergeCell ref="J523:J531"/>
    <mergeCell ref="J532:J540"/>
    <mergeCell ref="J541:J549"/>
    <mergeCell ref="J550:J558"/>
    <mergeCell ref="J559:J567"/>
    <mergeCell ref="J514:J522"/>
    <mergeCell ref="J487:J495"/>
    <mergeCell ref="J496:J504"/>
    <mergeCell ref="J505:J513"/>
    <mergeCell ref="I529:I531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I29:I31"/>
    <mergeCell ref="I32:I34"/>
    <mergeCell ref="I35:I37"/>
    <mergeCell ref="I38:I40"/>
    <mergeCell ref="I56:I58"/>
    <mergeCell ref="I59:I61"/>
    <mergeCell ref="I62:I64"/>
    <mergeCell ref="I65:I67"/>
    <mergeCell ref="I68:I70"/>
    <mergeCell ref="I41:I43"/>
    <mergeCell ref="I44:I46"/>
    <mergeCell ref="I47:I49"/>
    <mergeCell ref="I50:I52"/>
    <mergeCell ref="I53:I55"/>
    <mergeCell ref="I86:I88"/>
    <mergeCell ref="I89:I91"/>
    <mergeCell ref="I92:I94"/>
    <mergeCell ref="I95:I97"/>
    <mergeCell ref="I98:I100"/>
    <mergeCell ref="I71:I73"/>
    <mergeCell ref="I74:I76"/>
    <mergeCell ref="I77:I79"/>
    <mergeCell ref="I80:I82"/>
    <mergeCell ref="I83:I85"/>
    <mergeCell ref="I116:I118"/>
    <mergeCell ref="I119:I121"/>
    <mergeCell ref="I122:I124"/>
    <mergeCell ref="I125:I127"/>
    <mergeCell ref="I128:I130"/>
    <mergeCell ref="I101:I103"/>
    <mergeCell ref="I104:I106"/>
    <mergeCell ref="I107:I109"/>
    <mergeCell ref="I110:I112"/>
    <mergeCell ref="I113:I115"/>
    <mergeCell ref="I146:I148"/>
    <mergeCell ref="I149:I151"/>
    <mergeCell ref="I152:I154"/>
    <mergeCell ref="I155:I157"/>
    <mergeCell ref="I158:I160"/>
    <mergeCell ref="I131:I133"/>
    <mergeCell ref="I134:I136"/>
    <mergeCell ref="I137:I139"/>
    <mergeCell ref="I140:I142"/>
    <mergeCell ref="I143:I145"/>
    <mergeCell ref="I176:I178"/>
    <mergeCell ref="I179:I181"/>
    <mergeCell ref="I182:I184"/>
    <mergeCell ref="I185:I187"/>
    <mergeCell ref="I188:I190"/>
    <mergeCell ref="I161:I163"/>
    <mergeCell ref="I164:I166"/>
    <mergeCell ref="I167:I169"/>
    <mergeCell ref="I170:I172"/>
    <mergeCell ref="I173:I175"/>
    <mergeCell ref="I206:I208"/>
    <mergeCell ref="I209:I211"/>
    <mergeCell ref="I212:I214"/>
    <mergeCell ref="I215:I217"/>
    <mergeCell ref="I218:I220"/>
    <mergeCell ref="I191:I193"/>
    <mergeCell ref="I194:I196"/>
    <mergeCell ref="I197:I199"/>
    <mergeCell ref="I200:I202"/>
    <mergeCell ref="I203:I205"/>
    <mergeCell ref="I236:I238"/>
    <mergeCell ref="I239:I241"/>
    <mergeCell ref="I242:I244"/>
    <mergeCell ref="I245:I247"/>
    <mergeCell ref="I248:I250"/>
    <mergeCell ref="I221:I223"/>
    <mergeCell ref="I224:I226"/>
    <mergeCell ref="I227:I229"/>
    <mergeCell ref="I230:I232"/>
    <mergeCell ref="I233:I235"/>
    <mergeCell ref="I266:I268"/>
    <mergeCell ref="I269:I271"/>
    <mergeCell ref="I272:I274"/>
    <mergeCell ref="I275:I277"/>
    <mergeCell ref="I278:I280"/>
    <mergeCell ref="I251:I253"/>
    <mergeCell ref="I254:I256"/>
    <mergeCell ref="I257:I259"/>
    <mergeCell ref="I260:I262"/>
    <mergeCell ref="I263:I265"/>
    <mergeCell ref="I296:I298"/>
    <mergeCell ref="I299:I301"/>
    <mergeCell ref="I302:I304"/>
    <mergeCell ref="I305:I307"/>
    <mergeCell ref="I308:I310"/>
    <mergeCell ref="I281:I283"/>
    <mergeCell ref="I284:I286"/>
    <mergeCell ref="I287:I289"/>
    <mergeCell ref="I290:I292"/>
    <mergeCell ref="I293:I295"/>
    <mergeCell ref="I326:I328"/>
    <mergeCell ref="I329:I331"/>
    <mergeCell ref="I332:I334"/>
    <mergeCell ref="I335:I337"/>
    <mergeCell ref="I338:I340"/>
    <mergeCell ref="I311:I313"/>
    <mergeCell ref="I314:I316"/>
    <mergeCell ref="I317:I319"/>
    <mergeCell ref="I320:I322"/>
    <mergeCell ref="I323:I325"/>
    <mergeCell ref="I356:I358"/>
    <mergeCell ref="I359:I361"/>
    <mergeCell ref="I362:I364"/>
    <mergeCell ref="I365:I367"/>
    <mergeCell ref="I368:I370"/>
    <mergeCell ref="I341:I343"/>
    <mergeCell ref="I344:I346"/>
    <mergeCell ref="I347:I349"/>
    <mergeCell ref="I350:I352"/>
    <mergeCell ref="I353:I355"/>
    <mergeCell ref="I386:I388"/>
    <mergeCell ref="I389:I391"/>
    <mergeCell ref="I392:I394"/>
    <mergeCell ref="I395:I397"/>
    <mergeCell ref="I398:I400"/>
    <mergeCell ref="I371:I373"/>
    <mergeCell ref="I374:I376"/>
    <mergeCell ref="I377:I379"/>
    <mergeCell ref="I380:I382"/>
    <mergeCell ref="I383:I385"/>
    <mergeCell ref="I428:I429"/>
    <mergeCell ref="I430:I432"/>
    <mergeCell ref="I433:I435"/>
    <mergeCell ref="I416:I418"/>
    <mergeCell ref="I419:I421"/>
    <mergeCell ref="I422:I424"/>
    <mergeCell ref="I425:I427"/>
    <mergeCell ref="I401:I403"/>
    <mergeCell ref="I404:I406"/>
    <mergeCell ref="I407:I409"/>
    <mergeCell ref="I410:I412"/>
    <mergeCell ref="I413:I415"/>
    <mergeCell ref="I451:I453"/>
    <mergeCell ref="I454:I456"/>
    <mergeCell ref="I457:I459"/>
    <mergeCell ref="I460:I462"/>
    <mergeCell ref="I463:I465"/>
    <mergeCell ref="I436:I438"/>
    <mergeCell ref="I439:I441"/>
    <mergeCell ref="I442:I444"/>
    <mergeCell ref="I445:I447"/>
    <mergeCell ref="I448:I450"/>
    <mergeCell ref="I481:I483"/>
    <mergeCell ref="I484:I486"/>
    <mergeCell ref="I487:I489"/>
    <mergeCell ref="I490:I492"/>
    <mergeCell ref="I493:I495"/>
    <mergeCell ref="I466:I468"/>
    <mergeCell ref="I469:I471"/>
    <mergeCell ref="I472:I474"/>
    <mergeCell ref="I475:I477"/>
    <mergeCell ref="I478:I480"/>
    <mergeCell ref="I511:I513"/>
    <mergeCell ref="I514:I516"/>
    <mergeCell ref="I520:I522"/>
    <mergeCell ref="I523:I525"/>
    <mergeCell ref="I526:I528"/>
    <mergeCell ref="I496:I498"/>
    <mergeCell ref="I499:I501"/>
    <mergeCell ref="I502:I504"/>
    <mergeCell ref="I505:I507"/>
    <mergeCell ref="I508:I510"/>
    <mergeCell ref="I517:I519"/>
    <mergeCell ref="I547:I549"/>
    <mergeCell ref="I550:I552"/>
    <mergeCell ref="I553:I555"/>
    <mergeCell ref="I556:I558"/>
    <mergeCell ref="I559:I561"/>
    <mergeCell ref="I532:I534"/>
    <mergeCell ref="I535:I537"/>
    <mergeCell ref="I538:I540"/>
    <mergeCell ref="I541:I543"/>
    <mergeCell ref="I544:I546"/>
    <mergeCell ref="I577:I579"/>
    <mergeCell ref="I580:I582"/>
    <mergeCell ref="I583:I585"/>
    <mergeCell ref="I586:I588"/>
    <mergeCell ref="I589:I591"/>
    <mergeCell ref="I562:I564"/>
    <mergeCell ref="I565:I567"/>
    <mergeCell ref="I568:I570"/>
    <mergeCell ref="I571:I573"/>
    <mergeCell ref="I574:I576"/>
    <mergeCell ref="I607:I609"/>
    <mergeCell ref="I610:I612"/>
    <mergeCell ref="I613:I615"/>
    <mergeCell ref="I616:I618"/>
    <mergeCell ref="I619:I621"/>
    <mergeCell ref="I592:I594"/>
    <mergeCell ref="I595:I597"/>
    <mergeCell ref="I598:I600"/>
    <mergeCell ref="I601:I603"/>
    <mergeCell ref="I604:I606"/>
    <mergeCell ref="I637:I639"/>
    <mergeCell ref="I640:I642"/>
    <mergeCell ref="I643:I645"/>
    <mergeCell ref="I646:I648"/>
    <mergeCell ref="I649:I651"/>
    <mergeCell ref="I622:I624"/>
    <mergeCell ref="I625:I627"/>
    <mergeCell ref="I628:I630"/>
    <mergeCell ref="I631:I633"/>
    <mergeCell ref="I634:I636"/>
    <mergeCell ref="I667:I669"/>
    <mergeCell ref="I670:I672"/>
    <mergeCell ref="I673:I675"/>
    <mergeCell ref="I676:I678"/>
    <mergeCell ref="I652:I654"/>
    <mergeCell ref="I655:I657"/>
    <mergeCell ref="I658:I660"/>
    <mergeCell ref="I661:I663"/>
    <mergeCell ref="I664:I6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2" topLeftCell="A3" activePane="bottomLeft" state="frozen"/>
      <selection pane="bottomLeft" activeCell="J16" sqref="J16"/>
    </sheetView>
  </sheetViews>
  <sheetFormatPr defaultRowHeight="15" x14ac:dyDescent="0.25"/>
  <cols>
    <col min="5" max="5" width="11.7109375" bestFit="1" customWidth="1"/>
  </cols>
  <sheetData>
    <row r="1" spans="1:5" ht="15.75" x14ac:dyDescent="0.25">
      <c r="A1" s="24" t="s">
        <v>0</v>
      </c>
      <c r="B1" s="24" t="s">
        <v>1</v>
      </c>
      <c r="C1" s="26" t="s">
        <v>2</v>
      </c>
      <c r="D1" s="26"/>
      <c r="E1" s="27" t="s">
        <v>3</v>
      </c>
    </row>
    <row r="2" spans="1:5" ht="16.5" thickBot="1" x14ac:dyDescent="0.3">
      <c r="A2" s="25"/>
      <c r="B2" s="25"/>
      <c r="C2" s="3" t="s">
        <v>4</v>
      </c>
      <c r="D2" s="3" t="s">
        <v>5</v>
      </c>
      <c r="E2" s="28"/>
    </row>
  </sheetData>
  <mergeCells count="4">
    <mergeCell ref="A1:A2"/>
    <mergeCell ref="B1:B2"/>
    <mergeCell ref="C1:D1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pane ySplit="2" topLeftCell="A3" activePane="bottomLeft" state="frozen"/>
      <selection pane="bottomLeft" activeCell="I29" sqref="I29"/>
    </sheetView>
  </sheetViews>
  <sheetFormatPr defaultRowHeight="15" x14ac:dyDescent="0.25"/>
  <cols>
    <col min="1" max="1" width="8.42578125" bestFit="1" customWidth="1"/>
    <col min="3" max="3" width="15.28515625" style="2" bestFit="1" customWidth="1"/>
    <col min="4" max="4" width="15.28515625" style="2" customWidth="1"/>
    <col min="5" max="5" width="14.28515625" style="1" bestFit="1" customWidth="1"/>
  </cols>
  <sheetData>
    <row r="1" spans="1:5" ht="15.75" x14ac:dyDescent="0.25">
      <c r="A1" s="24" t="s">
        <v>0</v>
      </c>
      <c r="B1" s="24" t="s">
        <v>1</v>
      </c>
      <c r="C1" s="26" t="s">
        <v>2</v>
      </c>
      <c r="D1" s="26"/>
      <c r="E1" s="27" t="s">
        <v>3</v>
      </c>
    </row>
    <row r="2" spans="1:5" ht="15.75" x14ac:dyDescent="0.25">
      <c r="A2" s="24"/>
      <c r="B2" s="24"/>
      <c r="C2" s="4" t="s">
        <v>4</v>
      </c>
      <c r="D2" s="4" t="s">
        <v>5</v>
      </c>
      <c r="E2" s="27"/>
    </row>
    <row r="3" spans="1:5" x14ac:dyDescent="0.25">
      <c r="E3" s="1" t="e">
        <f>D3/C3</f>
        <v>#DIV/0!</v>
      </c>
    </row>
    <row r="4" spans="1:5" x14ac:dyDescent="0.25">
      <c r="E4" s="1" t="e">
        <f t="shared" ref="E4:E49" si="0">D4/C4</f>
        <v>#DIV/0!</v>
      </c>
    </row>
    <row r="5" spans="1:5" x14ac:dyDescent="0.25">
      <c r="E5" s="1" t="e">
        <f t="shared" si="0"/>
        <v>#DIV/0!</v>
      </c>
    </row>
    <row r="6" spans="1:5" x14ac:dyDescent="0.25">
      <c r="B6" s="5"/>
      <c r="C6" s="6"/>
      <c r="D6" s="6"/>
      <c r="E6" s="1" t="e">
        <f t="shared" si="0"/>
        <v>#DIV/0!</v>
      </c>
    </row>
    <row r="7" spans="1:5" x14ac:dyDescent="0.25">
      <c r="B7" s="7"/>
      <c r="C7" s="6"/>
      <c r="D7" s="6"/>
      <c r="E7" s="1" t="e">
        <f t="shared" si="0"/>
        <v>#DIV/0!</v>
      </c>
    </row>
    <row r="8" spans="1:5" x14ac:dyDescent="0.25">
      <c r="B8" s="7"/>
      <c r="C8" s="6"/>
      <c r="D8" s="6"/>
      <c r="E8" s="1" t="e">
        <f t="shared" si="0"/>
        <v>#DIV/0!</v>
      </c>
    </row>
    <row r="9" spans="1:5" x14ac:dyDescent="0.25">
      <c r="E9" s="1" t="e">
        <f t="shared" si="0"/>
        <v>#DIV/0!</v>
      </c>
    </row>
    <row r="10" spans="1:5" x14ac:dyDescent="0.25">
      <c r="E10" s="1" t="e">
        <f t="shared" si="0"/>
        <v>#DIV/0!</v>
      </c>
    </row>
    <row r="11" spans="1:5" x14ac:dyDescent="0.25">
      <c r="E11" s="1" t="e">
        <f t="shared" si="0"/>
        <v>#DIV/0!</v>
      </c>
    </row>
    <row r="12" spans="1:5" x14ac:dyDescent="0.25">
      <c r="E12" s="1" t="e">
        <f t="shared" si="0"/>
        <v>#DIV/0!</v>
      </c>
    </row>
    <row r="13" spans="1:5" x14ac:dyDescent="0.25">
      <c r="E13" s="1" t="e">
        <f t="shared" si="0"/>
        <v>#DIV/0!</v>
      </c>
    </row>
    <row r="14" spans="1:5" x14ac:dyDescent="0.25">
      <c r="E14" s="1" t="e">
        <f t="shared" si="0"/>
        <v>#DIV/0!</v>
      </c>
    </row>
    <row r="15" spans="1:5" x14ac:dyDescent="0.25">
      <c r="E15" s="1" t="e">
        <f t="shared" si="0"/>
        <v>#DIV/0!</v>
      </c>
    </row>
    <row r="16" spans="1:5" x14ac:dyDescent="0.25">
      <c r="E16" s="1" t="e">
        <f t="shared" si="0"/>
        <v>#DIV/0!</v>
      </c>
    </row>
    <row r="17" spans="5:5" x14ac:dyDescent="0.25">
      <c r="E17" s="1" t="e">
        <f t="shared" si="0"/>
        <v>#DIV/0!</v>
      </c>
    </row>
    <row r="18" spans="5:5" x14ac:dyDescent="0.25">
      <c r="E18" s="1" t="e">
        <f t="shared" si="0"/>
        <v>#DIV/0!</v>
      </c>
    </row>
    <row r="19" spans="5:5" x14ac:dyDescent="0.25">
      <c r="E19" s="1" t="e">
        <f t="shared" si="0"/>
        <v>#DIV/0!</v>
      </c>
    </row>
    <row r="20" spans="5:5" x14ac:dyDescent="0.25">
      <c r="E20" s="1" t="e">
        <f t="shared" si="0"/>
        <v>#DIV/0!</v>
      </c>
    </row>
    <row r="21" spans="5:5" x14ac:dyDescent="0.25">
      <c r="E21" s="1" t="e">
        <f t="shared" si="0"/>
        <v>#DIV/0!</v>
      </c>
    </row>
    <row r="22" spans="5:5" x14ac:dyDescent="0.25">
      <c r="E22" s="1" t="e">
        <f t="shared" si="0"/>
        <v>#DIV/0!</v>
      </c>
    </row>
    <row r="23" spans="5:5" x14ac:dyDescent="0.25">
      <c r="E23" s="1" t="e">
        <f t="shared" si="0"/>
        <v>#DIV/0!</v>
      </c>
    </row>
    <row r="24" spans="5:5" x14ac:dyDescent="0.25">
      <c r="E24" s="1" t="e">
        <f t="shared" si="0"/>
        <v>#DIV/0!</v>
      </c>
    </row>
    <row r="25" spans="5:5" x14ac:dyDescent="0.25">
      <c r="E25" s="1" t="e">
        <f t="shared" si="0"/>
        <v>#DIV/0!</v>
      </c>
    </row>
    <row r="26" spans="5:5" x14ac:dyDescent="0.25">
      <c r="E26" s="1" t="e">
        <f t="shared" si="0"/>
        <v>#DIV/0!</v>
      </c>
    </row>
    <row r="27" spans="5:5" x14ac:dyDescent="0.25">
      <c r="E27" s="1" t="e">
        <f t="shared" si="0"/>
        <v>#DIV/0!</v>
      </c>
    </row>
    <row r="28" spans="5:5" x14ac:dyDescent="0.25">
      <c r="E28" s="1" t="e">
        <f t="shared" si="0"/>
        <v>#DIV/0!</v>
      </c>
    </row>
    <row r="29" spans="5:5" x14ac:dyDescent="0.25">
      <c r="E29" s="1" t="e">
        <f t="shared" si="0"/>
        <v>#DIV/0!</v>
      </c>
    </row>
    <row r="30" spans="5:5" x14ac:dyDescent="0.25">
      <c r="E30" s="1" t="e">
        <f t="shared" si="0"/>
        <v>#DIV/0!</v>
      </c>
    </row>
    <row r="31" spans="5:5" x14ac:dyDescent="0.25">
      <c r="E31" s="1" t="e">
        <f t="shared" si="0"/>
        <v>#DIV/0!</v>
      </c>
    </row>
    <row r="32" spans="5:5" x14ac:dyDescent="0.25">
      <c r="E32" s="1" t="e">
        <f t="shared" si="0"/>
        <v>#DIV/0!</v>
      </c>
    </row>
    <row r="33" spans="5:5" x14ac:dyDescent="0.25">
      <c r="E33" s="1" t="e">
        <f t="shared" si="0"/>
        <v>#DIV/0!</v>
      </c>
    </row>
    <row r="34" spans="5:5" x14ac:dyDescent="0.25">
      <c r="E34" s="1" t="e">
        <f t="shared" si="0"/>
        <v>#DIV/0!</v>
      </c>
    </row>
    <row r="35" spans="5:5" x14ac:dyDescent="0.25">
      <c r="E35" s="1" t="e">
        <f t="shared" si="0"/>
        <v>#DIV/0!</v>
      </c>
    </row>
    <row r="36" spans="5:5" x14ac:dyDescent="0.25">
      <c r="E36" s="1" t="e">
        <f t="shared" si="0"/>
        <v>#DIV/0!</v>
      </c>
    </row>
    <row r="37" spans="5:5" x14ac:dyDescent="0.25">
      <c r="E37" s="1" t="e">
        <f t="shared" si="0"/>
        <v>#DIV/0!</v>
      </c>
    </row>
    <row r="38" spans="5:5" x14ac:dyDescent="0.25">
      <c r="E38" s="1" t="e">
        <f t="shared" si="0"/>
        <v>#DIV/0!</v>
      </c>
    </row>
    <row r="39" spans="5:5" x14ac:dyDescent="0.25">
      <c r="E39" s="1" t="e">
        <f t="shared" si="0"/>
        <v>#DIV/0!</v>
      </c>
    </row>
    <row r="40" spans="5:5" x14ac:dyDescent="0.25">
      <c r="E40" s="1" t="e">
        <f t="shared" si="0"/>
        <v>#DIV/0!</v>
      </c>
    </row>
    <row r="41" spans="5:5" x14ac:dyDescent="0.25">
      <c r="E41" s="1" t="e">
        <f t="shared" si="0"/>
        <v>#DIV/0!</v>
      </c>
    </row>
    <row r="42" spans="5:5" x14ac:dyDescent="0.25">
      <c r="E42" s="1" t="e">
        <f t="shared" si="0"/>
        <v>#DIV/0!</v>
      </c>
    </row>
    <row r="43" spans="5:5" x14ac:dyDescent="0.25">
      <c r="E43" s="1" t="e">
        <f t="shared" si="0"/>
        <v>#DIV/0!</v>
      </c>
    </row>
    <row r="44" spans="5:5" x14ac:dyDescent="0.25">
      <c r="E44" s="1" t="e">
        <f t="shared" si="0"/>
        <v>#DIV/0!</v>
      </c>
    </row>
    <row r="45" spans="5:5" x14ac:dyDescent="0.25">
      <c r="E45" s="1" t="e">
        <f t="shared" si="0"/>
        <v>#DIV/0!</v>
      </c>
    </row>
    <row r="46" spans="5:5" x14ac:dyDescent="0.25">
      <c r="E46" s="1" t="e">
        <f t="shared" si="0"/>
        <v>#DIV/0!</v>
      </c>
    </row>
    <row r="47" spans="5:5" x14ac:dyDescent="0.25">
      <c r="E47" s="1" t="e">
        <f t="shared" si="0"/>
        <v>#DIV/0!</v>
      </c>
    </row>
    <row r="48" spans="5:5" x14ac:dyDescent="0.25">
      <c r="E48" s="1" t="e">
        <f t="shared" si="0"/>
        <v>#DIV/0!</v>
      </c>
    </row>
    <row r="49" spans="5:5" x14ac:dyDescent="0.25">
      <c r="E49" s="1" t="e">
        <f t="shared" si="0"/>
        <v>#DIV/0!</v>
      </c>
    </row>
    <row r="50" spans="5:5" x14ac:dyDescent="0.25">
      <c r="E50" s="1" t="e">
        <f t="shared" ref="E50:E57" si="1">D50/C50</f>
        <v>#DIV/0!</v>
      </c>
    </row>
    <row r="51" spans="5:5" x14ac:dyDescent="0.25">
      <c r="E51" s="1" t="e">
        <f t="shared" si="1"/>
        <v>#DIV/0!</v>
      </c>
    </row>
    <row r="52" spans="5:5" x14ac:dyDescent="0.25">
      <c r="E52" s="1" t="e">
        <f t="shared" si="1"/>
        <v>#DIV/0!</v>
      </c>
    </row>
    <row r="53" spans="5:5" x14ac:dyDescent="0.25">
      <c r="E53" s="1" t="e">
        <f t="shared" si="1"/>
        <v>#DIV/0!</v>
      </c>
    </row>
    <row r="54" spans="5:5" x14ac:dyDescent="0.25">
      <c r="E54" s="1" t="e">
        <f t="shared" si="1"/>
        <v>#DIV/0!</v>
      </c>
    </row>
    <row r="55" spans="5:5" x14ac:dyDescent="0.25">
      <c r="E55" s="1" t="e">
        <f t="shared" si="1"/>
        <v>#DIV/0!</v>
      </c>
    </row>
    <row r="56" spans="5:5" x14ac:dyDescent="0.25">
      <c r="E56" s="1" t="e">
        <f t="shared" si="1"/>
        <v>#DIV/0!</v>
      </c>
    </row>
    <row r="57" spans="5:5" x14ac:dyDescent="0.25">
      <c r="E57" s="1" t="e">
        <f t="shared" si="1"/>
        <v>#DIV/0!</v>
      </c>
    </row>
  </sheetData>
  <mergeCells count="4">
    <mergeCell ref="A1:A2"/>
    <mergeCell ref="B1:B2"/>
    <mergeCell ref="C1:D1"/>
    <mergeCell ref="E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2" topLeftCell="A3" activePane="bottomLeft" state="frozen"/>
      <selection pane="bottomLeft" activeCell="J16" sqref="J16"/>
    </sheetView>
  </sheetViews>
  <sheetFormatPr defaultRowHeight="15" x14ac:dyDescent="0.25"/>
  <cols>
    <col min="5" max="5" width="11.7109375" bestFit="1" customWidth="1"/>
  </cols>
  <sheetData>
    <row r="1" spans="1:5" ht="15.75" x14ac:dyDescent="0.25">
      <c r="A1" s="24" t="s">
        <v>0</v>
      </c>
      <c r="B1" s="24" t="s">
        <v>1</v>
      </c>
      <c r="C1" s="26" t="s">
        <v>2</v>
      </c>
      <c r="D1" s="26"/>
      <c r="E1" s="27" t="s">
        <v>3</v>
      </c>
    </row>
    <row r="2" spans="1:5" ht="16.5" thickBot="1" x14ac:dyDescent="0.3">
      <c r="A2" s="25"/>
      <c r="B2" s="25"/>
      <c r="C2" s="3" t="s">
        <v>4</v>
      </c>
      <c r="D2" s="3" t="s">
        <v>5</v>
      </c>
      <c r="E2" s="28"/>
    </row>
  </sheetData>
  <mergeCells count="4">
    <mergeCell ref="A1:A2"/>
    <mergeCell ref="B1:B2"/>
    <mergeCell ref="C1:D1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Leaves - Trial 1</vt:lpstr>
      <vt:lpstr>Trap Leaves - Trial 1</vt:lpstr>
      <vt:lpstr>Source Leaves - Trial 2</vt:lpstr>
      <vt:lpstr>Trap Leaves - Trial 2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Sitler, Leigh - ARS</dc:creator>
  <cp:lastModifiedBy>Lucky Mehra</cp:lastModifiedBy>
  <dcterms:created xsi:type="dcterms:W3CDTF">2018-03-06T15:31:02Z</dcterms:created>
  <dcterms:modified xsi:type="dcterms:W3CDTF">2018-07-27T19:55:31Z</dcterms:modified>
</cp:coreProperties>
</file>