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/>
  <mc:AlternateContent xmlns:mc="http://schemas.openxmlformats.org/markup-compatibility/2006">
    <mc:Choice Requires="x15">
      <x15ac:absPath xmlns:x15ac="http://schemas.microsoft.com/office/spreadsheetml/2010/11/ac" url="/Users/eduardmeier/Desktop/MasterThesis_DataAnalysis/01_Data/03_SEC/"/>
    </mc:Choice>
  </mc:AlternateContent>
  <xr:revisionPtr revIDLastSave="0" documentId="13_ncr:1_{38295CED-089A-DA4B-B23A-728F1BC7C870}" xr6:coauthVersionLast="47" xr6:coauthVersionMax="47" xr10:uidLastSave="{00000000-0000-0000-0000-000000000000}"/>
  <bookViews>
    <workbookView xWindow="0" yWindow="760" windowWidth="34560" windowHeight="20160" activeTab="1" xr2:uid="{00000000-000D-0000-FFFF-FFFF00000000}"/>
  </bookViews>
  <sheets>
    <sheet name="Sample preparation" sheetId="1" r:id="rId1"/>
    <sheet name="Result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43" i="2" l="1"/>
  <c r="S43" i="2"/>
  <c r="M51" i="2"/>
  <c r="L51" i="2"/>
  <c r="K51" i="2"/>
  <c r="J51" i="2"/>
  <c r="H51" i="2"/>
  <c r="G51" i="2"/>
  <c r="C51" i="2"/>
  <c r="M50" i="2"/>
  <c r="L50" i="2"/>
  <c r="K50" i="2"/>
  <c r="H50" i="2"/>
  <c r="G50" i="2"/>
  <c r="C50" i="2"/>
  <c r="M49" i="2"/>
  <c r="C65" i="2" s="1"/>
  <c r="L49" i="2"/>
  <c r="K49" i="2"/>
  <c r="J49" i="2"/>
  <c r="H49" i="2"/>
  <c r="G49" i="2"/>
  <c r="C49" i="2"/>
  <c r="M48" i="2"/>
  <c r="L48" i="2"/>
  <c r="K48" i="2"/>
  <c r="H48" i="2"/>
  <c r="G48" i="2"/>
  <c r="C48" i="2"/>
  <c r="M47" i="2"/>
  <c r="L47" i="2"/>
  <c r="K47" i="2"/>
  <c r="J47" i="2"/>
  <c r="H47" i="2"/>
  <c r="G47" i="2"/>
  <c r="C47" i="2"/>
  <c r="M46" i="2"/>
  <c r="L46" i="2"/>
  <c r="K46" i="2"/>
  <c r="H46" i="2"/>
  <c r="G46" i="2"/>
  <c r="C46" i="2"/>
  <c r="M45" i="2"/>
  <c r="L45" i="2"/>
  <c r="K45" i="2"/>
  <c r="J45" i="2"/>
  <c r="I45" i="2"/>
  <c r="H45" i="2"/>
  <c r="G45" i="2"/>
  <c r="C45" i="2"/>
  <c r="M44" i="2"/>
  <c r="C62" i="2" s="1"/>
  <c r="L44" i="2"/>
  <c r="K44" i="2"/>
  <c r="J44" i="2"/>
  <c r="I44" i="2"/>
  <c r="H44" i="2"/>
  <c r="G44" i="2"/>
  <c r="C44" i="2"/>
  <c r="M43" i="2"/>
  <c r="L43" i="2"/>
  <c r="K43" i="2"/>
  <c r="I43" i="2"/>
  <c r="H43" i="2"/>
  <c r="G43" i="2"/>
  <c r="C43" i="2"/>
  <c r="M42" i="2"/>
  <c r="L42" i="2"/>
  <c r="K42" i="2"/>
  <c r="I42" i="2"/>
  <c r="H42" i="2"/>
  <c r="G42" i="2"/>
  <c r="E42" i="2" s="1"/>
  <c r="E51" i="2"/>
  <c r="N51" i="2" s="1"/>
  <c r="C42" i="2"/>
  <c r="K26" i="2"/>
  <c r="H26" i="2"/>
  <c r="G26" i="2"/>
  <c r="F26" i="2"/>
  <c r="E26" i="2"/>
  <c r="D26" i="2"/>
  <c r="C26" i="2"/>
  <c r="K25" i="2"/>
  <c r="H25" i="2"/>
  <c r="G25" i="2"/>
  <c r="F25" i="2"/>
  <c r="E25" i="2"/>
  <c r="D25" i="2"/>
  <c r="C25" i="2"/>
  <c r="M24" i="2"/>
  <c r="M33" i="2" s="1"/>
  <c r="K24" i="2"/>
  <c r="H24" i="2"/>
  <c r="G24" i="2"/>
  <c r="F24" i="2"/>
  <c r="E24" i="2"/>
  <c r="D24" i="2"/>
  <c r="C24" i="2"/>
  <c r="K23" i="2"/>
  <c r="H23" i="2"/>
  <c r="G23" i="2"/>
  <c r="F23" i="2"/>
  <c r="E23" i="2"/>
  <c r="D23" i="2"/>
  <c r="C23" i="2"/>
  <c r="D9" i="2"/>
  <c r="C9" i="2"/>
  <c r="E49" i="2" l="1"/>
  <c r="N49" i="2" s="1"/>
  <c r="C63" i="2"/>
  <c r="P42" i="2"/>
  <c r="S41" i="2"/>
  <c r="T41" i="2" s="1"/>
  <c r="N42" i="2"/>
  <c r="P51" i="2"/>
  <c r="C64" i="2"/>
  <c r="E50" i="2"/>
  <c r="S48" i="2"/>
  <c r="T48" i="2" s="1"/>
  <c r="P49" i="2"/>
  <c r="E47" i="2"/>
  <c r="E48" i="2"/>
  <c r="C61" i="2"/>
  <c r="S50" i="2"/>
  <c r="T50" i="2" s="1"/>
  <c r="E46" i="2"/>
  <c r="O46" i="2" s="1"/>
  <c r="E45" i="2"/>
  <c r="O45" i="2" s="1"/>
  <c r="E44" i="2"/>
  <c r="E43" i="2"/>
  <c r="O43" i="2" s="1"/>
  <c r="N43" i="2"/>
  <c r="C28" i="2"/>
  <c r="C33" i="2" s="1"/>
  <c r="L26" i="2"/>
  <c r="D33" i="2"/>
  <c r="E29" i="2"/>
  <c r="D45" i="2" s="1"/>
  <c r="L25" i="2"/>
  <c r="L24" i="2"/>
  <c r="L23" i="2"/>
  <c r="D29" i="2"/>
  <c r="D31" i="2" s="1"/>
  <c r="C29" i="2"/>
  <c r="O49" i="2"/>
  <c r="O51" i="2"/>
  <c r="O47" i="2"/>
  <c r="O42" i="2"/>
  <c r="O48" i="2"/>
  <c r="D43" i="2" l="1"/>
  <c r="E65" i="2"/>
  <c r="D65" i="2"/>
  <c r="D48" i="2"/>
  <c r="N26" i="2"/>
  <c r="O26" i="2"/>
  <c r="D44" i="2"/>
  <c r="P43" i="2"/>
  <c r="S42" i="2"/>
  <c r="T42" i="2" s="1"/>
  <c r="E61" i="2" s="1"/>
  <c r="N48" i="2"/>
  <c r="P48" i="2"/>
  <c r="S47" i="2"/>
  <c r="T47" i="2" s="1"/>
  <c r="N45" i="2"/>
  <c r="P45" i="2"/>
  <c r="S44" i="2"/>
  <c r="T44" i="2"/>
  <c r="O25" i="2"/>
  <c r="N25" i="2"/>
  <c r="D49" i="2"/>
  <c r="D50" i="2"/>
  <c r="D42" i="2"/>
  <c r="D51" i="2"/>
  <c r="D46" i="2"/>
  <c r="N50" i="2"/>
  <c r="S49" i="2"/>
  <c r="T49" i="2" s="1"/>
  <c r="P50" i="2"/>
  <c r="O50" i="2"/>
  <c r="C69" i="2"/>
  <c r="C70" i="2"/>
  <c r="C68" i="2"/>
  <c r="C67" i="2"/>
  <c r="N44" i="2"/>
  <c r="P44" i="2"/>
  <c r="N23" i="2"/>
  <c r="O23" i="2"/>
  <c r="N47" i="2"/>
  <c r="P47" i="2"/>
  <c r="S46" i="2"/>
  <c r="T46" i="2" s="1"/>
  <c r="O44" i="2"/>
  <c r="O24" i="2"/>
  <c r="N24" i="2"/>
  <c r="N46" i="2"/>
  <c r="P46" i="2"/>
  <c r="S45" i="2"/>
  <c r="T45" i="2" s="1"/>
  <c r="D47" i="2"/>
  <c r="L29" i="2"/>
  <c r="H15" i="2" l="1"/>
  <c r="F43" i="2"/>
  <c r="F44" i="2"/>
  <c r="D63" i="2"/>
  <c r="E63" i="2"/>
  <c r="F45" i="2"/>
  <c r="D61" i="2"/>
  <c r="H16" i="2"/>
  <c r="B14" i="2"/>
  <c r="B16" i="2" s="1"/>
  <c r="D64" i="2"/>
  <c r="E64" i="2"/>
  <c r="F49" i="2"/>
  <c r="D62" i="2"/>
  <c r="E62" i="2"/>
  <c r="F48" i="2"/>
  <c r="S31" i="2"/>
  <c r="T31" i="2" s="1"/>
  <c r="S32" i="2"/>
  <c r="T32" i="2" s="1"/>
  <c r="S23" i="2"/>
  <c r="T23" i="2" s="1"/>
  <c r="S24" i="2"/>
  <c r="T24" i="2" s="1"/>
  <c r="F42" i="2"/>
  <c r="S25" i="2"/>
  <c r="T25" i="2" s="1"/>
  <c r="S26" i="2"/>
  <c r="T26" i="2" s="1"/>
  <c r="S27" i="2"/>
  <c r="T27" i="2" s="1"/>
  <c r="S28" i="2"/>
  <c r="T28" i="2" s="1"/>
  <c r="S29" i="2"/>
  <c r="T29" i="2" s="1"/>
  <c r="S30" i="2"/>
  <c r="T30" i="2" s="1"/>
  <c r="F47" i="2"/>
  <c r="H14" i="2"/>
  <c r="F51" i="2"/>
  <c r="F46" i="2"/>
  <c r="F50" i="2"/>
  <c r="D53" i="2"/>
  <c r="D54" i="2" s="1"/>
  <c r="E68" i="2" l="1"/>
  <c r="E69" i="2"/>
  <c r="E70" i="2"/>
  <c r="E67" i="2"/>
  <c r="D68" i="2"/>
  <c r="D70" i="2"/>
  <c r="D67" i="2"/>
  <c r="D69" i="2"/>
</calcChain>
</file>

<file path=xl/sharedStrings.xml><?xml version="1.0" encoding="utf-8"?>
<sst xmlns="http://schemas.openxmlformats.org/spreadsheetml/2006/main" count="191" uniqueCount="136">
  <si>
    <t xml:space="preserve"># </t>
  </si>
  <si>
    <t>≥ 95 % monomer</t>
  </si>
  <si>
    <t>total</t>
  </si>
  <si>
    <t>B</t>
  </si>
  <si>
    <t>#</t>
  </si>
  <si>
    <t>result</t>
  </si>
  <si>
    <r>
      <rPr>
        <sz val="11"/>
        <color indexed="8"/>
        <rFont val="Arial"/>
        <family val="2"/>
      </rPr>
      <t>≥ 1200</t>
    </r>
  </si>
  <si>
    <t>Purity</t>
  </si>
  <si>
    <t>100 uL</t>
  </si>
  <si>
    <t xml:space="preserve">% Area of largest Peak </t>
  </si>
  <si>
    <t>Area</t>
  </si>
  <si>
    <t xml:space="preserve">Ret. Time </t>
  </si>
  <si>
    <t>Initial conc.</t>
  </si>
  <si>
    <t>% diff.</t>
  </si>
  <si>
    <t>Sample volume</t>
  </si>
  <si>
    <t>Peak 1</t>
  </si>
  <si>
    <t>RT (min)</t>
  </si>
  <si>
    <t>30 mg/mL</t>
  </si>
  <si>
    <t>Assay Acceptance Criteria</t>
  </si>
  <si>
    <t>Reference Material</t>
  </si>
  <si>
    <t>Main Component</t>
  </si>
  <si>
    <t>Ret. Time</t>
  </si>
  <si>
    <t>Area% main comp.</t>
  </si>
  <si>
    <t>C</t>
  </si>
  <si>
    <t>280 uL</t>
  </si>
  <si>
    <t>main comp.</t>
  </si>
  <si>
    <t>% Area (calculated as per method, section 15.1.3)</t>
  </si>
  <si>
    <t>average</t>
  </si>
  <si>
    <t>Sample name</t>
  </si>
  <si>
    <t>Diff. To DPC</t>
  </si>
  <si>
    <t>150 mg/mL</t>
  </si>
  <si>
    <t>acc. Criteria</t>
  </si>
  <si>
    <r>
      <rPr>
        <sz val="11"/>
        <color indexed="8"/>
        <rFont val="Arial"/>
        <family val="2"/>
      </rPr>
      <t>≥ 1.5</t>
    </r>
  </si>
  <si>
    <r>
      <rPr>
        <sz val="11"/>
        <color indexed="8"/>
        <rFont val="Arial"/>
        <family val="2"/>
      </rPr>
      <t>≤ 2%</t>
    </r>
  </si>
  <si>
    <t>Main comp.</t>
  </si>
  <si>
    <t>Target conc.</t>
  </si>
  <si>
    <t>Peak 2</t>
  </si>
  <si>
    <t>Acceptance criterion:</t>
  </si>
  <si>
    <t>D</t>
  </si>
  <si>
    <t>20 uL</t>
  </si>
  <si>
    <t>Result</t>
  </si>
  <si>
    <t>peak area</t>
  </si>
  <si>
    <t>HMWS1</t>
  </si>
  <si>
    <t>pass</t>
  </si>
  <si>
    <t>10 mg/mL</t>
  </si>
  <si>
    <t>result:</t>
  </si>
  <si>
    <t>Samples</t>
  </si>
  <si>
    <t>Result ID</t>
  </si>
  <si>
    <t>RRM</t>
  </si>
  <si>
    <t>MW1</t>
  </si>
  <si>
    <t>Acceptance criteria</t>
  </si>
  <si>
    <t>[min]</t>
  </si>
  <si>
    <t>Diluent volume</t>
  </si>
  <si>
    <t>Peak 3</t>
  </si>
  <si>
    <t>&lt; 10 %</t>
  </si>
  <si>
    <t>A</t>
  </si>
  <si>
    <t>Sample</t>
  </si>
  <si>
    <t>Area of largest Peak in the blank 3:</t>
  </si>
  <si>
    <t>acc. Criterion ≤ 0,72%</t>
  </si>
  <si>
    <t>HMWS</t>
  </si>
  <si>
    <t>area %</t>
  </si>
  <si>
    <t>E</t>
  </si>
  <si>
    <t>%RSD</t>
  </si>
  <si>
    <t>Resolution</t>
  </si>
  <si>
    <t>Res ID</t>
  </si>
  <si>
    <t xml:space="preserve">peak area </t>
  </si>
  <si>
    <t>200 uL</t>
  </si>
  <si>
    <t>Eduard Meier</t>
  </si>
  <si>
    <t>System Suitability- Molecular weight standard</t>
  </si>
  <si>
    <t>old!</t>
  </si>
  <si>
    <t>Rs IgG/ Ovalb. (Resolution)</t>
  </si>
  <si>
    <t>N IgG (No. of Stages)</t>
  </si>
  <si>
    <t>Result ID: 10577</t>
  </si>
  <si>
    <t>NA</t>
  </si>
  <si>
    <t>Area HMWS1</t>
  </si>
  <si>
    <t>Area HMWS2</t>
  </si>
  <si>
    <t>Area HMWS3</t>
  </si>
  <si>
    <t>Area HMWS4</t>
  </si>
  <si>
    <t>Area LMWS1</t>
  </si>
  <si>
    <t>Area LMWS2</t>
  </si>
  <si>
    <t>(no peak detected)</t>
  </si>
  <si>
    <t>Blank 3</t>
  </si>
  <si>
    <t>no peaks greater than 0.05%</t>
  </si>
  <si>
    <t>Total Peak Area</t>
  </si>
  <si>
    <t>HMWS2</t>
  </si>
  <si>
    <t>HMWS3</t>
  </si>
  <si>
    <t>HMWS4</t>
  </si>
  <si>
    <t>LMWS1</t>
  </si>
  <si>
    <t>LMWS2</t>
  </si>
  <si>
    <t>LMWS</t>
  </si>
  <si>
    <t>Peak Areas</t>
  </si>
  <si>
    <t>Conc.</t>
  </si>
  <si>
    <t>[mg/mL]</t>
  </si>
  <si>
    <t>U1</t>
  </si>
  <si>
    <t>U1 (unsheared)</t>
  </si>
  <si>
    <t>U2 (unsheared)</t>
  </si>
  <si>
    <t>U3 (sheared, PMMA)</t>
  </si>
  <si>
    <t>U4 (sheared, Steel)</t>
  </si>
  <si>
    <t>U5 (sheared, PMMA)</t>
  </si>
  <si>
    <t>U6 (sheared, Steel)</t>
  </si>
  <si>
    <t>U7 (worst case, PMMA)</t>
  </si>
  <si>
    <t>U8 (worst case, Steel)</t>
  </si>
  <si>
    <t>U9 (worst case, PMMA)</t>
  </si>
  <si>
    <t>U10 (worst case, Steel)</t>
  </si>
  <si>
    <t>U2</t>
  </si>
  <si>
    <t>U3</t>
  </si>
  <si>
    <t>U4</t>
  </si>
  <si>
    <t>U5</t>
  </si>
  <si>
    <t>U6</t>
  </si>
  <si>
    <t>U7</t>
  </si>
  <si>
    <t>U8</t>
  </si>
  <si>
    <t>U9</t>
  </si>
  <si>
    <t>U10</t>
  </si>
  <si>
    <t>Average Unsheared</t>
  </si>
  <si>
    <t>Average Sheared PMMA</t>
  </si>
  <si>
    <t>Average Sheared Steel</t>
  </si>
  <si>
    <t>Average Worst Case PMMA</t>
  </si>
  <si>
    <t>Average Worst Case Steel</t>
  </si>
  <si>
    <t>Corr. Mean Ref. Total Area</t>
  </si>
  <si>
    <t>Corr. % Diff. Peak Area</t>
  </si>
  <si>
    <t>Corr. Area (Main Peak)</t>
  </si>
  <si>
    <t>Corr. Total Area</t>
  </si>
  <si>
    <t xml:space="preserve"> Avg. Main Comp. Corr.</t>
  </si>
  <si>
    <t>Avg. Main Comp. Uncorr.</t>
  </si>
  <si>
    <t>Std. Dev. Main Comp.</t>
  </si>
  <si>
    <t>Sample Concentration Correction</t>
  </si>
  <si>
    <t>Reference and Sample Concentration Correction</t>
  </si>
  <si>
    <t>Pass: &lt; 10%</t>
  </si>
  <si>
    <t>(see corr. box)</t>
  </si>
  <si>
    <t>Monomer Loss Calculation</t>
  </si>
  <si>
    <t>Monomer Loss PMMA Sheared</t>
  </si>
  <si>
    <t>Monomer Loss Steel Sheared</t>
  </si>
  <si>
    <t>Monomer Loss PMMA Worst Case</t>
  </si>
  <si>
    <t>Monomer Loss Steel Worst Case</t>
  </si>
  <si>
    <t>(see error prop. calc.)</t>
  </si>
  <si>
    <t>JJmAb1 (10 mg/mL)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</si>
</sst>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%"/>
    <numFmt numFmtId="165" formatCode="0.0"/>
    <numFmt numFmtId="166" formatCode="_ * #,##0.0_ ;_ * \-#,##0.0_ ;_ * &quot;-&quot;??_ ;_ @_ "/>
    <numFmt numFmtId="167" formatCode="_-* #,##0.00_-;\-* #,##0.00_-;_-* &quot;-&quot;??_-;_-@_-"/>
    <numFmt numFmtId="168" formatCode="0.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1"/>
      <color indexed="8"/>
      <name val="Arial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80001220740379042"/>
        <bgColor indexed="64"/>
      </patternFill>
    </fill>
    <fill>
      <patternFill patternType="solid">
        <fgColor rgb="FF339966"/>
        <bgColor indexed="64"/>
      </patternFill>
    </fill>
    <fill>
      <patternFill patternType="solid">
        <fgColor rgb="FFC00000"/>
        <bgColor indexed="64"/>
      </patternFill>
    </fill>
  </fills>
  <borders count="20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auto="1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theme="9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theme="9"/>
      </right>
      <top/>
      <bottom style="medium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5">
    <xf numFmtId="0" fontId="0" fillId="0" borderId="0"/>
    <xf numFmtId="167" fontId="6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6" fillId="0" borderId="0"/>
  </cellStyleXfs>
  <cellXfs count="107">
    <xf numFmtId="0" fontId="0" fillId="0" borderId="0" xfId="0"/>
    <xf numFmtId="0" fontId="1" fillId="0" borderId="0" xfId="4" applyFont="1"/>
    <xf numFmtId="0" fontId="1" fillId="0" borderId="0" xfId="4" applyFont="1" applyAlignment="1">
      <alignment horizontal="center"/>
    </xf>
    <xf numFmtId="0" fontId="1" fillId="0" borderId="0" xfId="0" applyFont="1"/>
    <xf numFmtId="1" fontId="1" fillId="0" borderId="0" xfId="4" applyNumberFormat="1" applyFont="1" applyAlignment="1">
      <alignment horizontal="center"/>
    </xf>
    <xf numFmtId="0" fontId="1" fillId="0" borderId="4" xfId="4" applyFont="1" applyBorder="1"/>
    <xf numFmtId="0" fontId="1" fillId="0" borderId="3" xfId="4" applyFont="1" applyBorder="1" applyAlignment="1">
      <alignment horizontal="center"/>
    </xf>
    <xf numFmtId="0" fontId="1" fillId="0" borderId="5" xfId="4" applyFont="1" applyBorder="1"/>
    <xf numFmtId="2" fontId="1" fillId="0" borderId="0" xfId="4" applyNumberFormat="1" applyFont="1" applyAlignment="1">
      <alignment horizontal="center"/>
    </xf>
    <xf numFmtId="0" fontId="3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7" xfId="4" applyFont="1" applyBorder="1"/>
    <xf numFmtId="0" fontId="1" fillId="2" borderId="0" xfId="4" applyFont="1" applyFill="1" applyAlignment="1">
      <alignment horizontal="center" vertical="center"/>
    </xf>
    <xf numFmtId="2" fontId="1" fillId="0" borderId="0" xfId="4" applyNumberFormat="1" applyFont="1" applyAlignment="1">
      <alignment horizontal="center" vertical="center"/>
    </xf>
    <xf numFmtId="0" fontId="1" fillId="0" borderId="5" xfId="4" applyFont="1" applyBorder="1" applyAlignment="1">
      <alignment horizontal="center"/>
    </xf>
    <xf numFmtId="0" fontId="1" fillId="0" borderId="0" xfId="4" applyFont="1" applyAlignment="1">
      <alignment horizontal="center" vertical="center"/>
    </xf>
    <xf numFmtId="165" fontId="1" fillId="0" borderId="0" xfId="4" applyNumberFormat="1" applyFont="1" applyAlignment="1">
      <alignment horizontal="center"/>
    </xf>
    <xf numFmtId="0" fontId="1" fillId="0" borderId="3" xfId="4" applyFont="1" applyBorder="1"/>
    <xf numFmtId="0" fontId="1" fillId="0" borderId="5" xfId="4" applyFont="1" applyBorder="1" applyAlignment="1">
      <alignment horizontal="center" vertical="center"/>
    </xf>
    <xf numFmtId="0" fontId="1" fillId="0" borderId="7" xfId="4" applyFont="1" applyBorder="1" applyAlignment="1">
      <alignment horizontal="center"/>
    </xf>
    <xf numFmtId="0" fontId="1" fillId="0" borderId="7" xfId="0" applyFont="1" applyBorder="1"/>
    <xf numFmtId="165" fontId="1" fillId="0" borderId="0" xfId="4" applyNumberFormat="1" applyFont="1" applyAlignment="1">
      <alignment horizontal="center" vertical="center"/>
    </xf>
    <xf numFmtId="0" fontId="1" fillId="0" borderId="5" xfId="0" applyFont="1" applyBorder="1"/>
    <xf numFmtId="0" fontId="1" fillId="0" borderId="10" xfId="4" applyFont="1" applyBorder="1"/>
    <xf numFmtId="0" fontId="1" fillId="0" borderId="5" xfId="4" applyFont="1" applyBorder="1" applyAlignment="1">
      <alignment horizontal="left"/>
    </xf>
    <xf numFmtId="0" fontId="1" fillId="0" borderId="0" xfId="4" applyFont="1" applyAlignment="1">
      <alignment horizontal="left"/>
    </xf>
    <xf numFmtId="10" fontId="1" fillId="3" borderId="0" xfId="3" applyNumberFormat="1" applyFont="1" applyFill="1" applyBorder="1" applyAlignment="1">
      <alignment horizontal="center" vertical="center"/>
    </xf>
    <xf numFmtId="0" fontId="0" fillId="0" borderId="11" xfId="0" applyBorder="1"/>
    <xf numFmtId="9" fontId="1" fillId="0" borderId="0" xfId="3" applyFont="1" applyFill="1" applyBorder="1" applyAlignment="1">
      <alignment horizontal="center" vertical="center"/>
    </xf>
    <xf numFmtId="164" fontId="1" fillId="0" borderId="0" xfId="3" applyNumberFormat="1" applyFont="1" applyBorder="1" applyAlignment="1">
      <alignment horizontal="center"/>
    </xf>
    <xf numFmtId="168" fontId="1" fillId="0" borderId="0" xfId="4" applyNumberFormat="1" applyFont="1"/>
    <xf numFmtId="166" fontId="1" fillId="0" borderId="0" xfId="1" applyNumberFormat="1" applyFont="1" applyBorder="1" applyAlignment="1">
      <alignment horizontal="center" vertical="center"/>
    </xf>
    <xf numFmtId="1" fontId="1" fillId="0" borderId="7" xfId="4" applyNumberFormat="1" applyFont="1" applyBorder="1" applyAlignment="1">
      <alignment horizontal="center"/>
    </xf>
    <xf numFmtId="168" fontId="1" fillId="0" borderId="4" xfId="4" applyNumberFormat="1" applyFont="1" applyBorder="1"/>
    <xf numFmtId="2" fontId="1" fillId="4" borderId="12" xfId="4" applyNumberFormat="1" applyFont="1" applyFill="1" applyBorder="1"/>
    <xf numFmtId="10" fontId="1" fillId="0" borderId="0" xfId="3" applyNumberFormat="1" applyFont="1" applyFill="1" applyBorder="1" applyAlignment="1">
      <alignment horizontal="center" vertical="center"/>
    </xf>
    <xf numFmtId="0" fontId="1" fillId="0" borderId="13" xfId="4" applyFont="1" applyBorder="1"/>
    <xf numFmtId="10" fontId="1" fillId="0" borderId="0" xfId="3" applyNumberFormat="1" applyFont="1"/>
    <xf numFmtId="0" fontId="1" fillId="0" borderId="3" xfId="0" applyFont="1" applyBorder="1"/>
    <xf numFmtId="0" fontId="1" fillId="0" borderId="13" xfId="4" applyFont="1" applyBorder="1" applyAlignment="1">
      <alignment horizontal="center"/>
    </xf>
    <xf numFmtId="10" fontId="1" fillId="0" borderId="0" xfId="3" applyNumberFormat="1" applyFont="1" applyBorder="1" applyAlignment="1">
      <alignment horizontal="center"/>
    </xf>
    <xf numFmtId="0" fontId="1" fillId="0" borderId="14" xfId="4" applyFont="1" applyBorder="1" applyAlignment="1">
      <alignment horizontal="left"/>
    </xf>
    <xf numFmtId="0" fontId="1" fillId="0" borderId="0" xfId="0" applyFont="1" applyAlignment="1">
      <alignment horizontal="center"/>
    </xf>
    <xf numFmtId="164" fontId="1" fillId="3" borderId="0" xfId="3" applyNumberFormat="1" applyFont="1" applyFill="1" applyBorder="1" applyAlignment="1">
      <alignment horizontal="center" vertical="center"/>
    </xf>
    <xf numFmtId="2" fontId="1" fillId="4" borderId="15" xfId="4" applyNumberFormat="1" applyFont="1" applyFill="1" applyBorder="1"/>
    <xf numFmtId="0" fontId="0" fillId="0" borderId="13" xfId="0" applyBorder="1"/>
    <xf numFmtId="0" fontId="1" fillId="0" borderId="14" xfId="4" applyFont="1" applyBorder="1"/>
    <xf numFmtId="164" fontId="1" fillId="0" borderId="0" xfId="3" applyNumberFormat="1" applyFont="1" applyFill="1" applyBorder="1" applyAlignment="1">
      <alignment horizontal="center" vertical="center"/>
    </xf>
    <xf numFmtId="165" fontId="1" fillId="0" borderId="0" xfId="3" applyNumberFormat="1" applyFont="1" applyBorder="1" applyAlignment="1">
      <alignment horizontal="center"/>
    </xf>
    <xf numFmtId="0" fontId="6" fillId="0" borderId="6" xfId="2" applyBorder="1" applyAlignment="1">
      <alignment horizontal="center" vertical="center"/>
    </xf>
    <xf numFmtId="10" fontId="1" fillId="0" borderId="0" xfId="3" applyNumberFormat="1" applyFont="1" applyBorder="1"/>
    <xf numFmtId="0" fontId="4" fillId="0" borderId="0" xfId="4" applyFont="1"/>
    <xf numFmtId="0" fontId="1" fillId="0" borderId="14" xfId="4" applyFont="1" applyBorder="1" applyAlignment="1">
      <alignment horizontal="center"/>
    </xf>
    <xf numFmtId="0" fontId="1" fillId="0" borderId="3" xfId="4" applyFont="1" applyBorder="1" applyAlignment="1">
      <alignment horizontal="center" vertical="center"/>
    </xf>
    <xf numFmtId="0" fontId="1" fillId="0" borderId="4" xfId="0" applyFont="1" applyBorder="1"/>
    <xf numFmtId="0" fontId="0" fillId="0" borderId="5" xfId="0" applyBorder="1"/>
    <xf numFmtId="15" fontId="1" fillId="0" borderId="0" xfId="4" applyNumberFormat="1" applyFont="1" applyAlignment="1">
      <alignment horizontal="left"/>
    </xf>
    <xf numFmtId="1" fontId="1" fillId="0" borderId="0" xfId="4" applyNumberFormat="1" applyFont="1" applyAlignment="1">
      <alignment horizontal="right"/>
    </xf>
    <xf numFmtId="10" fontId="1" fillId="5" borderId="13" xfId="3" applyNumberFormat="1" applyFont="1" applyFill="1" applyBorder="1" applyAlignment="1">
      <alignment horizontal="center"/>
    </xf>
    <xf numFmtId="10" fontId="1" fillId="0" borderId="0" xfId="3" applyNumberFormat="1" applyFont="1" applyAlignment="1">
      <alignment horizontal="center"/>
    </xf>
    <xf numFmtId="10" fontId="1" fillId="0" borderId="7" xfId="3" applyNumberFormat="1" applyFont="1" applyBorder="1"/>
    <xf numFmtId="1" fontId="1" fillId="0" borderId="0" xfId="0" applyNumberFormat="1" applyFont="1"/>
    <xf numFmtId="0" fontId="1" fillId="0" borderId="5" xfId="4" applyFont="1" applyBorder="1" applyAlignment="1">
      <alignment horizontal="left" vertical="center"/>
    </xf>
    <xf numFmtId="1" fontId="1" fillId="0" borderId="0" xfId="4" applyNumberFormat="1" applyFont="1" applyAlignment="1">
      <alignment horizontal="center" vertical="center"/>
    </xf>
    <xf numFmtId="0" fontId="1" fillId="0" borderId="0" xfId="4" applyFont="1" applyAlignment="1">
      <alignment horizontal="right"/>
    </xf>
    <xf numFmtId="1" fontId="0" fillId="0" borderId="0" xfId="0" applyNumberFormat="1"/>
    <xf numFmtId="0" fontId="0" fillId="0" borderId="4" xfId="0" applyBorder="1"/>
    <xf numFmtId="1" fontId="0" fillId="0" borderId="13" xfId="0" applyNumberFormat="1" applyBorder="1" applyAlignment="1">
      <alignment horizontal="right"/>
    </xf>
    <xf numFmtId="0" fontId="0" fillId="0" borderId="19" xfId="0" applyBorder="1"/>
    <xf numFmtId="0" fontId="0" fillId="0" borderId="14" xfId="0" applyBorder="1"/>
    <xf numFmtId="1" fontId="1" fillId="0" borderId="4" xfId="0" applyNumberFormat="1" applyFont="1" applyBorder="1"/>
    <xf numFmtId="0" fontId="1" fillId="0" borderId="19" xfId="4" applyFont="1" applyBorder="1"/>
    <xf numFmtId="0" fontId="1" fillId="0" borderId="14" xfId="0" applyFont="1" applyBorder="1"/>
    <xf numFmtId="9" fontId="1" fillId="6" borderId="13" xfId="3" applyFont="1" applyFill="1" applyBorder="1"/>
    <xf numFmtId="9" fontId="1" fillId="0" borderId="11" xfId="3" applyFont="1" applyBorder="1" applyAlignment="1">
      <alignment horizontal="right"/>
    </xf>
    <xf numFmtId="9" fontId="1" fillId="7" borderId="0" xfId="3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1" fontId="0" fillId="0" borderId="0" xfId="0" applyNumberFormat="1" applyAlignment="1">
      <alignment horizontal="right"/>
    </xf>
    <xf numFmtId="1" fontId="0" fillId="0" borderId="13" xfId="0" applyNumberFormat="1" applyBorder="1"/>
    <xf numFmtId="0" fontId="0" fillId="0" borderId="13" xfId="0" applyBorder="1" applyAlignment="1">
      <alignment horizontal="right"/>
    </xf>
    <xf numFmtId="0" fontId="2" fillId="0" borderId="5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3" xfId="0" applyFont="1" applyBorder="1" applyAlignment="1">
      <alignment horizontal="center"/>
    </xf>
    <xf numFmtId="0" fontId="3" fillId="0" borderId="5" xfId="0" applyFont="1" applyBorder="1"/>
    <xf numFmtId="0" fontId="3" fillId="0" borderId="0" xfId="0" applyFont="1"/>
    <xf numFmtId="164" fontId="3" fillId="0" borderId="0" xfId="3" applyNumberFormat="1" applyFont="1" applyBorder="1"/>
    <xf numFmtId="164" fontId="3" fillId="0" borderId="13" xfId="3" applyNumberFormat="1" applyFont="1" applyBorder="1"/>
    <xf numFmtId="0" fontId="0" fillId="0" borderId="11" xfId="0" applyBorder="1" applyAlignment="1">
      <alignment horizontal="right"/>
    </xf>
    <xf numFmtId="0" fontId="0" fillId="0" borderId="6" xfId="0" applyBorder="1" applyAlignment="1">
      <alignment horizontal="center" vertical="center"/>
    </xf>
    <xf numFmtId="0" fontId="2" fillId="0" borderId="17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7" xfId="4" applyFont="1" applyBorder="1" applyAlignment="1">
      <alignment horizontal="center"/>
    </xf>
    <xf numFmtId="0" fontId="2" fillId="0" borderId="2" xfId="4" applyFont="1" applyBorder="1" applyAlignment="1">
      <alignment horizontal="center"/>
    </xf>
    <xf numFmtId="0" fontId="2" fillId="0" borderId="16" xfId="4" applyFont="1" applyBorder="1" applyAlignment="1">
      <alignment horizontal="center"/>
    </xf>
    <xf numFmtId="0" fontId="1" fillId="2" borderId="14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1" fillId="0" borderId="0" xfId="4" applyFont="1" applyAlignment="1">
      <alignment horizontal="center"/>
    </xf>
    <xf numFmtId="0" fontId="2" fillId="0" borderId="9" xfId="4" applyFont="1" applyBorder="1" applyAlignment="1">
      <alignment horizontal="center"/>
    </xf>
    <xf numFmtId="0" fontId="2" fillId="0" borderId="1" xfId="4" applyFont="1" applyBorder="1" applyAlignment="1">
      <alignment horizontal="center"/>
    </xf>
    <xf numFmtId="0" fontId="2" fillId="0" borderId="8" xfId="4" applyFont="1" applyBorder="1" applyAlignment="1">
      <alignment horizontal="center"/>
    </xf>
    <xf numFmtId="0" fontId="2" fillId="0" borderId="18" xfId="4" applyFont="1" applyBorder="1" applyAlignment="1">
      <alignment horizontal="center"/>
    </xf>
    <xf numFmtId="0" fontId="1" fillId="0" borderId="2" xfId="4" applyFont="1" applyBorder="1" applyAlignment="1">
      <alignment horizontal="center"/>
    </xf>
    <xf numFmtId="0" fontId="1" fillId="0" borderId="16" xfId="4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6" xfId="0" applyBorder="1" applyAlignment="1">
      <alignment horizontal="center"/>
    </xf>
  </cellXfs>
  <cellStyles count="5">
    <cellStyle name="Comma" xfId="1" builtinId="3"/>
    <cellStyle name="Normal" xfId="0" builtinId="0"/>
    <cellStyle name="Normal_Sample preparation" xfId="2" xr:uid="{00000000-0005-0000-0000-000002000000}"/>
    <cellStyle name="Per cent" xfId="3" builtinId="5"/>
    <cellStyle name="Standard_Tabelle1" xfId="4" xr:uid="{00000000-0005-0000-0000-000004000000}"/>
  </cellStyles>
  <dxfs count="2">
    <dxf>
      <fill>
        <patternFill>
          <bgColor indexed="57"/>
        </patternFill>
      </fill>
    </dxf>
    <dxf>
      <fill>
        <patternFill>
          <bgColor indexed="57"/>
        </patternFill>
      </fill>
    </dxf>
  </dxfs>
  <tableStyles count="0" defaultTableStyle="TableStyleMedium2" defaultPivotStyle="PivotStyleLight16"/>
  <colors>
    <mruColors>
      <color rgb="FF33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10160</xdr:colOff>
      <xdr:row>56</xdr:row>
      <xdr:rowOff>182880</xdr:rowOff>
    </xdr:from>
    <xdr:to>
      <xdr:col>9</xdr:col>
      <xdr:colOff>886174</xdr:colOff>
      <xdr:row>71</xdr:row>
      <xdr:rowOff>10160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44D128A-7D6B-5715-E0D3-E4D143D1DA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33840" y="11104880"/>
          <a:ext cx="3974814" cy="2743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F18"/>
  <sheetViews>
    <sheetView zoomScale="144" workbookViewId="0">
      <selection activeCell="E24" sqref="E24"/>
    </sheetView>
  </sheetViews>
  <sheetFormatPr baseColWidth="10" defaultColWidth="8.83203125" defaultRowHeight="15" x14ac:dyDescent="0.2"/>
  <cols>
    <col min="3" max="3" width="11.5" bestFit="1" customWidth="1"/>
    <col min="4" max="4" width="11.1640625" bestFit="1" customWidth="1"/>
    <col min="5" max="6" width="14.83203125" bestFit="1" customWidth="1"/>
  </cols>
  <sheetData>
    <row r="2" spans="2:6" x14ac:dyDescent="0.2">
      <c r="B2" s="9" t="s">
        <v>56</v>
      </c>
      <c r="C2" s="9" t="s">
        <v>35</v>
      </c>
      <c r="D2" s="9" t="s">
        <v>12</v>
      </c>
      <c r="E2" s="9" t="s">
        <v>14</v>
      </c>
      <c r="F2" s="9" t="s">
        <v>52</v>
      </c>
    </row>
    <row r="3" spans="2:6" x14ac:dyDescent="0.2">
      <c r="B3" s="49" t="s">
        <v>55</v>
      </c>
      <c r="C3" s="88" t="s">
        <v>44</v>
      </c>
      <c r="D3" s="10" t="s">
        <v>17</v>
      </c>
      <c r="E3" s="10" t="s">
        <v>8</v>
      </c>
      <c r="F3" s="10" t="s">
        <v>66</v>
      </c>
    </row>
    <row r="4" spans="2:6" x14ac:dyDescent="0.2">
      <c r="B4" s="49" t="s">
        <v>3</v>
      </c>
      <c r="C4" s="88"/>
      <c r="D4" s="10" t="s">
        <v>17</v>
      </c>
      <c r="E4" s="10" t="s">
        <v>8</v>
      </c>
      <c r="F4" s="10" t="s">
        <v>66</v>
      </c>
    </row>
    <row r="5" spans="2:6" x14ac:dyDescent="0.2">
      <c r="B5" s="49" t="s">
        <v>23</v>
      </c>
      <c r="C5" s="88"/>
      <c r="D5" s="10" t="s">
        <v>17</v>
      </c>
      <c r="E5" s="10" t="s">
        <v>8</v>
      </c>
      <c r="F5" s="10" t="s">
        <v>66</v>
      </c>
    </row>
    <row r="6" spans="2:6" x14ac:dyDescent="0.2">
      <c r="B6" s="49" t="s">
        <v>38</v>
      </c>
      <c r="C6" s="88"/>
      <c r="D6" s="10" t="s">
        <v>17</v>
      </c>
      <c r="E6" s="10" t="s">
        <v>8</v>
      </c>
      <c r="F6" s="10" t="s">
        <v>66</v>
      </c>
    </row>
    <row r="7" spans="2:6" x14ac:dyDescent="0.2">
      <c r="B7" s="49" t="s">
        <v>61</v>
      </c>
      <c r="C7" s="88"/>
      <c r="D7" s="10" t="s">
        <v>17</v>
      </c>
      <c r="E7" s="10" t="s">
        <v>8</v>
      </c>
      <c r="F7" s="10" t="s">
        <v>66</v>
      </c>
    </row>
    <row r="8" spans="2:6" x14ac:dyDescent="0.2">
      <c r="B8" s="49">
        <v>1</v>
      </c>
      <c r="C8" s="88"/>
      <c r="D8" s="10" t="s">
        <v>30</v>
      </c>
      <c r="E8" s="10" t="s">
        <v>39</v>
      </c>
      <c r="F8" s="10" t="s">
        <v>24</v>
      </c>
    </row>
    <row r="9" spans="2:6" x14ac:dyDescent="0.2">
      <c r="B9" s="49">
        <v>2</v>
      </c>
      <c r="C9" s="88"/>
      <c r="D9" s="10" t="s">
        <v>30</v>
      </c>
      <c r="E9" s="10" t="s">
        <v>39</v>
      </c>
      <c r="F9" s="10" t="s">
        <v>24</v>
      </c>
    </row>
    <row r="10" spans="2:6" x14ac:dyDescent="0.2">
      <c r="B10" s="49">
        <v>3</v>
      </c>
      <c r="C10" s="88"/>
      <c r="D10" s="10" t="s">
        <v>30</v>
      </c>
      <c r="E10" s="10" t="s">
        <v>39</v>
      </c>
      <c r="F10" s="10" t="s">
        <v>24</v>
      </c>
    </row>
    <row r="11" spans="2:6" x14ac:dyDescent="0.2">
      <c r="B11" s="49">
        <v>4</v>
      </c>
      <c r="C11" s="88"/>
      <c r="D11" s="10" t="s">
        <v>30</v>
      </c>
      <c r="E11" s="10" t="s">
        <v>39</v>
      </c>
      <c r="F11" s="10" t="s">
        <v>24</v>
      </c>
    </row>
    <row r="12" spans="2:6" x14ac:dyDescent="0.2">
      <c r="B12" s="49">
        <v>5</v>
      </c>
      <c r="C12" s="88"/>
      <c r="D12" s="10" t="s">
        <v>30</v>
      </c>
      <c r="E12" s="10" t="s">
        <v>39</v>
      </c>
      <c r="F12" s="10" t="s">
        <v>24</v>
      </c>
    </row>
    <row r="13" spans="2:6" x14ac:dyDescent="0.2">
      <c r="B13" s="49">
        <v>6</v>
      </c>
      <c r="C13" s="88"/>
      <c r="D13" s="10" t="s">
        <v>30</v>
      </c>
      <c r="E13" s="10" t="s">
        <v>39</v>
      </c>
      <c r="F13" s="10" t="s">
        <v>24</v>
      </c>
    </row>
    <row r="14" spans="2:6" x14ac:dyDescent="0.2">
      <c r="B14" s="49">
        <v>7</v>
      </c>
      <c r="C14" s="88"/>
      <c r="D14" s="10" t="s">
        <v>30</v>
      </c>
      <c r="E14" s="10" t="s">
        <v>39</v>
      </c>
      <c r="F14" s="10" t="s">
        <v>24</v>
      </c>
    </row>
    <row r="15" spans="2:6" x14ac:dyDescent="0.2">
      <c r="B15" s="10" t="s">
        <v>48</v>
      </c>
      <c r="C15" s="88"/>
      <c r="D15" s="10" t="s">
        <v>17</v>
      </c>
      <c r="E15" s="10" t="s">
        <v>8</v>
      </c>
      <c r="F15" s="10" t="s">
        <v>66</v>
      </c>
    </row>
    <row r="18" spans="3:3" x14ac:dyDescent="0.2">
      <c r="C18" t="s">
        <v>69</v>
      </c>
    </row>
  </sheetData>
  <mergeCells count="1">
    <mergeCell ref="C3:C15"/>
  </mergeCell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71"/>
  <sheetViews>
    <sheetView tabSelected="1" workbookViewId="0">
      <selection activeCell="O60" sqref="O60"/>
    </sheetView>
  </sheetViews>
  <sheetFormatPr baseColWidth="10" defaultColWidth="8.83203125" defaultRowHeight="15" x14ac:dyDescent="0.2"/>
  <cols>
    <col min="1" max="1" width="31" customWidth="1"/>
    <col min="2" max="2" width="11.5" bestFit="1" customWidth="1"/>
    <col min="3" max="3" width="26.33203125" bestFit="1" customWidth="1"/>
    <col min="4" max="4" width="20.5" bestFit="1" customWidth="1"/>
    <col min="5" max="5" width="17.1640625" bestFit="1" customWidth="1"/>
    <col min="6" max="6" width="13" bestFit="1" customWidth="1"/>
    <col min="7" max="7" width="14" bestFit="1" customWidth="1"/>
    <col min="8" max="8" width="13.1640625" customWidth="1"/>
    <col min="9" max="9" width="13.5" customWidth="1"/>
    <col min="10" max="10" width="15.5" customWidth="1"/>
    <col min="11" max="11" width="17.1640625" customWidth="1"/>
    <col min="12" max="12" width="15.5" customWidth="1"/>
    <col min="13" max="13" width="12.5" customWidth="1"/>
    <col min="14" max="14" width="13.33203125" customWidth="1"/>
    <col min="15" max="15" width="12.33203125" customWidth="1"/>
    <col min="16" max="16" width="10.6640625" customWidth="1"/>
    <col min="19" max="19" width="27.33203125" customWidth="1"/>
    <col min="20" max="20" width="26.5" customWidth="1"/>
    <col min="21" max="21" width="25.5" customWidth="1"/>
    <col min="22" max="22" width="24.83203125" customWidth="1"/>
  </cols>
  <sheetData>
    <row r="1" spans="1:12" ht="18" x14ac:dyDescent="0.2">
      <c r="A1" s="51" t="s">
        <v>18</v>
      </c>
      <c r="B1" s="1"/>
      <c r="C1" s="1"/>
      <c r="D1" s="1"/>
      <c r="E1" s="56">
        <v>45147</v>
      </c>
      <c r="F1" s="1" t="s">
        <v>67</v>
      </c>
      <c r="G1" s="1"/>
      <c r="H1" s="1"/>
      <c r="I1" s="1"/>
      <c r="J1" s="1"/>
      <c r="K1" s="1"/>
    </row>
    <row r="2" spans="1:12" ht="16" thickBot="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</row>
    <row r="3" spans="1:12" x14ac:dyDescent="0.2">
      <c r="A3" s="99" t="s">
        <v>68</v>
      </c>
      <c r="B3" s="100"/>
      <c r="C3" s="100"/>
      <c r="D3" s="101"/>
      <c r="E3" s="1"/>
      <c r="F3" s="1"/>
      <c r="G3" s="1"/>
      <c r="H3" s="1"/>
      <c r="I3" s="1"/>
      <c r="J3" s="1"/>
      <c r="K3" s="1"/>
    </row>
    <row r="4" spans="1:12" x14ac:dyDescent="0.2">
      <c r="A4" s="7"/>
      <c r="B4" s="1"/>
      <c r="C4" s="3"/>
      <c r="D4" s="20"/>
      <c r="E4" s="1"/>
      <c r="F4" s="1"/>
      <c r="G4" s="1"/>
      <c r="H4" s="1"/>
      <c r="I4" s="1"/>
      <c r="J4" s="1"/>
      <c r="K4" s="1"/>
    </row>
    <row r="5" spans="1:12" x14ac:dyDescent="0.2">
      <c r="A5" s="14" t="s">
        <v>0</v>
      </c>
      <c r="B5" s="2" t="s">
        <v>47</v>
      </c>
      <c r="C5" s="2" t="s">
        <v>70</v>
      </c>
      <c r="D5" s="19" t="s">
        <v>71</v>
      </c>
      <c r="E5" s="2"/>
      <c r="F5" s="1"/>
      <c r="G5" s="1"/>
      <c r="H5" s="1"/>
      <c r="I5" s="1"/>
      <c r="J5" s="1"/>
      <c r="K5" s="1"/>
    </row>
    <row r="6" spans="1:12" x14ac:dyDescent="0.2">
      <c r="A6" s="14" t="s">
        <v>49</v>
      </c>
      <c r="B6" s="4">
        <v>10578</v>
      </c>
      <c r="C6" s="8">
        <v>2.13</v>
      </c>
      <c r="D6" s="32">
        <v>1539</v>
      </c>
      <c r="E6" s="2"/>
      <c r="F6" s="1"/>
      <c r="G6" s="1"/>
      <c r="H6" s="1"/>
      <c r="I6" s="1"/>
      <c r="J6" s="1"/>
      <c r="K6" s="1"/>
    </row>
    <row r="7" spans="1:12" x14ac:dyDescent="0.2">
      <c r="A7" s="7"/>
      <c r="B7" s="1"/>
      <c r="C7" s="1"/>
      <c r="D7" s="11"/>
      <c r="E7" s="1"/>
      <c r="F7" s="1"/>
      <c r="G7" s="1"/>
      <c r="H7" s="1"/>
      <c r="I7" s="1"/>
      <c r="J7" s="1"/>
      <c r="K7" s="1"/>
    </row>
    <row r="8" spans="1:12" x14ac:dyDescent="0.2">
      <c r="A8" s="7"/>
      <c r="B8" s="15" t="s">
        <v>31</v>
      </c>
      <c r="C8" s="2" t="s">
        <v>32</v>
      </c>
      <c r="D8" s="19" t="s">
        <v>6</v>
      </c>
      <c r="E8" s="1"/>
      <c r="F8" s="1"/>
      <c r="G8" s="1"/>
      <c r="H8" s="1"/>
      <c r="I8" s="1"/>
      <c r="J8" s="1"/>
      <c r="K8" s="1"/>
    </row>
    <row r="9" spans="1:12" ht="16" thickBot="1" x14ac:dyDescent="0.25">
      <c r="A9" s="46"/>
      <c r="B9" s="6" t="s">
        <v>5</v>
      </c>
      <c r="C9" s="6" t="str">
        <f>IF(C6&gt;=1.5, "pass", "fail")</f>
        <v>pass</v>
      </c>
      <c r="D9" s="6" t="str">
        <f>IF(D6&gt;=1200, "pass", "fail")</f>
        <v>pass</v>
      </c>
      <c r="E9" s="1"/>
      <c r="F9" s="1"/>
      <c r="G9" s="1"/>
      <c r="H9" s="1"/>
      <c r="I9" s="1"/>
      <c r="J9" s="1"/>
      <c r="K9" s="1"/>
    </row>
    <row r="10" spans="1:12" ht="16" thickBot="1" x14ac:dyDescent="0.25">
      <c r="A10" s="1"/>
      <c r="B10" s="2"/>
      <c r="C10" s="2"/>
      <c r="D10" s="2"/>
      <c r="E10" s="1"/>
      <c r="F10" s="1"/>
      <c r="G10" s="1"/>
      <c r="H10" s="1"/>
      <c r="I10" s="1"/>
      <c r="J10" s="1"/>
      <c r="K10" s="1"/>
    </row>
    <row r="11" spans="1:12" x14ac:dyDescent="0.2">
      <c r="A11" s="92" t="s">
        <v>81</v>
      </c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104"/>
    </row>
    <row r="12" spans="1:12" x14ac:dyDescent="0.2">
      <c r="A12" s="1" t="s">
        <v>72</v>
      </c>
      <c r="B12" s="1"/>
      <c r="D12" s="1"/>
      <c r="E12" s="1"/>
      <c r="F12" s="1"/>
      <c r="G12" s="1"/>
      <c r="H12" s="1"/>
      <c r="I12" s="1"/>
      <c r="J12" s="1"/>
      <c r="K12" s="1"/>
      <c r="L12" s="45"/>
    </row>
    <row r="13" spans="1:12" x14ac:dyDescent="0.2">
      <c r="A13" s="24" t="s">
        <v>57</v>
      </c>
      <c r="B13" s="1">
        <v>0</v>
      </c>
      <c r="C13" s="1" t="s">
        <v>80</v>
      </c>
      <c r="D13" s="1"/>
      <c r="E13" s="1"/>
      <c r="F13" s="1" t="s">
        <v>16</v>
      </c>
      <c r="G13" s="1" t="s">
        <v>10</v>
      </c>
      <c r="H13" s="1" t="s">
        <v>26</v>
      </c>
      <c r="I13" s="1"/>
      <c r="J13" s="1"/>
      <c r="K13" s="1"/>
      <c r="L13" s="45"/>
    </row>
    <row r="14" spans="1:12" x14ac:dyDescent="0.2">
      <c r="A14" s="24" t="s">
        <v>9</v>
      </c>
      <c r="B14" s="50">
        <f>B13/L29</f>
        <v>0</v>
      </c>
      <c r="C14" s="1"/>
      <c r="D14" s="1"/>
      <c r="E14" s="1" t="s">
        <v>15</v>
      </c>
      <c r="F14" s="30" t="s">
        <v>73</v>
      </c>
      <c r="G14" s="1" t="s">
        <v>73</v>
      </c>
      <c r="H14" s="34" t="e">
        <f>100*(G14/L29)</f>
        <v>#VALUE!</v>
      </c>
      <c r="I14" s="1"/>
      <c r="J14" s="1"/>
      <c r="K14" s="1"/>
      <c r="L14" s="45"/>
    </row>
    <row r="15" spans="1:12" x14ac:dyDescent="0.2">
      <c r="A15" s="24" t="s">
        <v>37</v>
      </c>
      <c r="B15" s="1"/>
      <c r="C15" s="1" t="s">
        <v>82</v>
      </c>
      <c r="D15" s="1"/>
      <c r="E15" s="1" t="s">
        <v>36</v>
      </c>
      <c r="F15" s="30" t="s">
        <v>73</v>
      </c>
      <c r="G15" s="1" t="s">
        <v>73</v>
      </c>
      <c r="H15" s="34" t="e">
        <f>100*(G15/L29)</f>
        <v>#VALUE!</v>
      </c>
      <c r="I15" s="1"/>
      <c r="J15" s="1"/>
      <c r="K15" s="1"/>
      <c r="L15" s="45"/>
    </row>
    <row r="16" spans="1:12" x14ac:dyDescent="0.2">
      <c r="A16" s="41" t="s">
        <v>45</v>
      </c>
      <c r="B16" s="6" t="str">
        <f>IF(AND(B14&lt;=0.05), "pass", "fail")</f>
        <v>pass</v>
      </c>
      <c r="C16" s="17"/>
      <c r="D16" s="5"/>
      <c r="E16" s="5" t="s">
        <v>53</v>
      </c>
      <c r="F16" s="33" t="s">
        <v>73</v>
      </c>
      <c r="G16" s="5" t="s">
        <v>73</v>
      </c>
      <c r="H16" s="44" t="e">
        <f>100*(G16/L29)</f>
        <v>#VALUE!</v>
      </c>
      <c r="I16" s="5"/>
      <c r="J16" s="5"/>
      <c r="K16" s="5"/>
      <c r="L16" s="27"/>
    </row>
    <row r="17" spans="1:20" x14ac:dyDescent="0.2">
      <c r="A17" s="25"/>
      <c r="B17" s="1"/>
      <c r="C17" s="1"/>
      <c r="D17" s="1"/>
      <c r="E17" s="1"/>
      <c r="F17" s="1"/>
      <c r="G17" s="1"/>
      <c r="H17" s="1"/>
      <c r="I17" s="1"/>
      <c r="J17" s="1"/>
      <c r="K17" s="1"/>
    </row>
    <row r="18" spans="1:20" ht="16" thickBot="1" x14ac:dyDescent="0.25">
      <c r="A18" s="25"/>
      <c r="B18" s="1"/>
      <c r="C18" s="1"/>
      <c r="D18" s="37"/>
      <c r="E18" s="1"/>
      <c r="F18" s="1"/>
      <c r="G18" s="1"/>
      <c r="H18" s="1"/>
      <c r="I18" s="1"/>
      <c r="J18" s="1"/>
      <c r="K18" s="1"/>
      <c r="Q18" s="66"/>
      <c r="R18" s="66"/>
      <c r="S18" s="66"/>
      <c r="T18" s="66"/>
    </row>
    <row r="19" spans="1:20" x14ac:dyDescent="0.2">
      <c r="A19" s="102" t="s">
        <v>19</v>
      </c>
      <c r="B19" s="93"/>
      <c r="C19" s="93"/>
      <c r="D19" s="93"/>
      <c r="E19" s="93"/>
      <c r="F19" s="93"/>
      <c r="G19" s="93"/>
      <c r="H19" s="93"/>
      <c r="I19" s="93"/>
      <c r="J19" s="93"/>
      <c r="K19" s="93"/>
      <c r="L19" s="93"/>
      <c r="M19" s="93"/>
      <c r="N19" s="93"/>
      <c r="O19" s="93"/>
      <c r="P19" s="68"/>
      <c r="Q19" s="89" t="s">
        <v>126</v>
      </c>
      <c r="R19" s="105"/>
      <c r="S19" s="105"/>
      <c r="T19" s="106"/>
    </row>
    <row r="20" spans="1:20" x14ac:dyDescent="0.2">
      <c r="A20" s="7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1"/>
      <c r="P20" s="71"/>
      <c r="T20" s="45"/>
    </row>
    <row r="21" spans="1:20" x14ac:dyDescent="0.2">
      <c r="A21" s="7"/>
      <c r="B21" s="2"/>
      <c r="C21" s="2" t="s">
        <v>10</v>
      </c>
      <c r="D21" s="2" t="s">
        <v>7</v>
      </c>
      <c r="E21" s="2" t="s">
        <v>21</v>
      </c>
      <c r="F21" s="2"/>
      <c r="G21" s="2"/>
      <c r="H21" s="2"/>
      <c r="I21" s="2"/>
      <c r="J21" s="2"/>
      <c r="K21" s="2"/>
      <c r="L21" s="1"/>
      <c r="M21" s="1"/>
      <c r="N21" s="2" t="s">
        <v>59</v>
      </c>
      <c r="O21" s="39" t="s">
        <v>89</v>
      </c>
      <c r="P21" s="71"/>
      <c r="Q21" s="3" t="s">
        <v>56</v>
      </c>
      <c r="R21" s="2" t="s">
        <v>91</v>
      </c>
      <c r="S21" s="2" t="s">
        <v>118</v>
      </c>
      <c r="T21" s="39" t="s">
        <v>119</v>
      </c>
    </row>
    <row r="22" spans="1:20" x14ac:dyDescent="0.2">
      <c r="A22" s="14" t="s">
        <v>4</v>
      </c>
      <c r="B22" s="2" t="s">
        <v>64</v>
      </c>
      <c r="C22" s="2" t="s">
        <v>20</v>
      </c>
      <c r="D22" s="2" t="s">
        <v>22</v>
      </c>
      <c r="E22" s="2" t="s">
        <v>51</v>
      </c>
      <c r="F22" s="42" t="s">
        <v>74</v>
      </c>
      <c r="G22" s="42" t="s">
        <v>75</v>
      </c>
      <c r="H22" s="42" t="s">
        <v>76</v>
      </c>
      <c r="I22" s="42" t="s">
        <v>77</v>
      </c>
      <c r="J22" s="42" t="s">
        <v>78</v>
      </c>
      <c r="K22" s="42" t="s">
        <v>79</v>
      </c>
      <c r="L22" s="2" t="s">
        <v>83</v>
      </c>
      <c r="M22" s="2" t="s">
        <v>63</v>
      </c>
      <c r="N22" s="2" t="s">
        <v>60</v>
      </c>
      <c r="O22" s="39" t="s">
        <v>60</v>
      </c>
      <c r="P22" s="71"/>
      <c r="R22" s="2" t="s">
        <v>92</v>
      </c>
      <c r="T22" s="45"/>
    </row>
    <row r="23" spans="1:20" x14ac:dyDescent="0.2">
      <c r="A23" s="14">
        <v>1</v>
      </c>
      <c r="B23" s="2">
        <v>10579</v>
      </c>
      <c r="C23" s="4">
        <f>21000599</f>
        <v>21000599</v>
      </c>
      <c r="D23" s="48">
        <f>98.3957</f>
        <v>98.395700000000005</v>
      </c>
      <c r="E23" s="16">
        <f>12.689</f>
        <v>12.689</v>
      </c>
      <c r="F23" s="4">
        <f>316968</f>
        <v>316968</v>
      </c>
      <c r="G23" s="4">
        <f>11791</f>
        <v>11791</v>
      </c>
      <c r="H23" s="4">
        <f>9274</f>
        <v>9274</v>
      </c>
      <c r="I23" s="4">
        <v>0</v>
      </c>
      <c r="J23" s="4">
        <v>0</v>
      </c>
      <c r="K23" s="4">
        <f>4379</f>
        <v>4379</v>
      </c>
      <c r="L23" s="4">
        <f>C23+SUM(F23:K23)</f>
        <v>21343011</v>
      </c>
      <c r="M23" s="31">
        <v>2.1</v>
      </c>
      <c r="N23" s="59">
        <f>SUM(F23:I23)/L23</f>
        <v>1.5838112063944493E-2</v>
      </c>
      <c r="O23" s="60">
        <f>SUM(J23:K23)/L23</f>
        <v>2.0517255039600551E-4</v>
      </c>
      <c r="P23" s="71"/>
      <c r="Q23" s="3" t="s">
        <v>93</v>
      </c>
      <c r="R23" s="3">
        <v>12.20255</v>
      </c>
      <c r="S23" s="61">
        <f t="shared" ref="S23:S31" si="0">R41/10*$L$29</f>
        <v>26009558.998152502</v>
      </c>
      <c r="T23" s="73">
        <f t="shared" ref="T23:T32" si="1">(S23-E42)/S23</f>
        <v>-6.5863016053796991E-2</v>
      </c>
    </row>
    <row r="24" spans="1:20" x14ac:dyDescent="0.2">
      <c r="A24" s="14">
        <v>2</v>
      </c>
      <c r="B24" s="2">
        <v>10580</v>
      </c>
      <c r="C24" s="4">
        <f>21024426</f>
        <v>21024426</v>
      </c>
      <c r="D24" s="48">
        <f>98.3865</f>
        <v>98.386499999999998</v>
      </c>
      <c r="E24" s="16">
        <f>12.689</f>
        <v>12.689</v>
      </c>
      <c r="F24" s="4">
        <f>317911</f>
        <v>317911</v>
      </c>
      <c r="G24" s="4">
        <f>10938</f>
        <v>10938</v>
      </c>
      <c r="H24" s="4">
        <f>10357</f>
        <v>10357</v>
      </c>
      <c r="I24" s="4">
        <v>0</v>
      </c>
      <c r="J24" s="4">
        <v>0</v>
      </c>
      <c r="K24" s="4">
        <f>5576</f>
        <v>5576</v>
      </c>
      <c r="L24" s="4">
        <f>C24+SUM(F24:K24)</f>
        <v>21369208</v>
      </c>
      <c r="M24" s="31">
        <f>2.11</f>
        <v>2.11</v>
      </c>
      <c r="N24" s="59">
        <f t="shared" ref="N24:N26" si="2">SUM(F24:I24)/L24</f>
        <v>1.5873587827868959E-2</v>
      </c>
      <c r="O24" s="60">
        <f t="shared" ref="O24:O26" si="3">SUM(J24:K24)/L24</f>
        <v>2.6093620315736552E-4</v>
      </c>
      <c r="P24" s="71"/>
      <c r="Q24" s="3" t="s">
        <v>104</v>
      </c>
      <c r="R24" s="3">
        <v>12.4152</v>
      </c>
      <c r="S24" s="61">
        <f t="shared" si="0"/>
        <v>26462819.400359999</v>
      </c>
      <c r="T24" s="73">
        <f t="shared" si="1"/>
        <v>-5.1739445405479902E-2</v>
      </c>
    </row>
    <row r="25" spans="1:20" x14ac:dyDescent="0.2">
      <c r="A25" s="14">
        <v>3</v>
      </c>
      <c r="B25" s="2">
        <v>10592</v>
      </c>
      <c r="C25" s="4">
        <f>20942047</f>
        <v>20942047</v>
      </c>
      <c r="D25" s="48">
        <f>98.4152</f>
        <v>98.415199999999999</v>
      </c>
      <c r="E25" s="16">
        <f>12.689</f>
        <v>12.689</v>
      </c>
      <c r="F25" s="4">
        <f>312030</f>
        <v>312030</v>
      </c>
      <c r="G25" s="4">
        <f>11246</f>
        <v>11246</v>
      </c>
      <c r="H25" s="4">
        <f>9878</f>
        <v>9878</v>
      </c>
      <c r="I25" s="4">
        <v>0</v>
      </c>
      <c r="J25" s="4">
        <v>0</v>
      </c>
      <c r="K25" s="4">
        <f>4070</f>
        <v>4070</v>
      </c>
      <c r="L25" s="4">
        <f t="shared" ref="L25:L26" si="4">C25+SUM(F25:K25)</f>
        <v>21279271</v>
      </c>
      <c r="M25" s="31">
        <v>2.08</v>
      </c>
      <c r="N25" s="59">
        <f t="shared" si="2"/>
        <v>1.5656269427650974E-2</v>
      </c>
      <c r="O25" s="60">
        <f t="shared" si="3"/>
        <v>1.9126595079314512E-4</v>
      </c>
      <c r="P25" s="71"/>
      <c r="Q25" s="3" t="s">
        <v>105</v>
      </c>
      <c r="R25" s="3">
        <v>13.16743</v>
      </c>
      <c r="S25" s="61">
        <f t="shared" si="0"/>
        <v>28066186.775636502</v>
      </c>
      <c r="T25" s="73">
        <f t="shared" si="1"/>
        <v>-1.4819192492673987E-2</v>
      </c>
    </row>
    <row r="26" spans="1:20" x14ac:dyDescent="0.2">
      <c r="A26" s="14">
        <v>4</v>
      </c>
      <c r="B26" s="2">
        <v>10593</v>
      </c>
      <c r="C26" s="4">
        <f>20925669</f>
        <v>20925669</v>
      </c>
      <c r="D26" s="48">
        <f>98.3907</f>
        <v>98.390699999999995</v>
      </c>
      <c r="E26" s="16">
        <f>12.69</f>
        <v>12.69</v>
      </c>
      <c r="F26" s="4">
        <f>312822</f>
        <v>312822</v>
      </c>
      <c r="G26" s="4">
        <f>14324</f>
        <v>14324</v>
      </c>
      <c r="H26" s="4">
        <f>9326</f>
        <v>9326</v>
      </c>
      <c r="I26" s="4">
        <v>0</v>
      </c>
      <c r="J26" s="4">
        <v>0</v>
      </c>
      <c r="K26" s="4">
        <f>5791</f>
        <v>5791</v>
      </c>
      <c r="L26" s="4">
        <f t="shared" si="4"/>
        <v>21267932</v>
      </c>
      <c r="M26" s="31">
        <v>2.0699999999999998</v>
      </c>
      <c r="N26" s="59">
        <f t="shared" si="2"/>
        <v>1.5820626095663651E-2</v>
      </c>
      <c r="O26" s="60">
        <f t="shared" si="3"/>
        <v>2.7228787453335851E-4</v>
      </c>
      <c r="P26" s="71"/>
      <c r="Q26" s="3" t="s">
        <v>106</v>
      </c>
      <c r="R26" s="3">
        <v>13.182729999999999</v>
      </c>
      <c r="S26" s="61">
        <f t="shared" si="0"/>
        <v>28098798.5045515</v>
      </c>
      <c r="T26" s="73">
        <f t="shared" si="1"/>
        <v>-1.2887009933533091E-2</v>
      </c>
    </row>
    <row r="27" spans="1:20" x14ac:dyDescent="0.2">
      <c r="A27" s="14"/>
      <c r="B27" s="2"/>
      <c r="C27" s="2"/>
      <c r="D27" s="2"/>
      <c r="E27" s="16"/>
      <c r="F27" s="3"/>
      <c r="G27" s="3"/>
      <c r="H27" s="3"/>
      <c r="I27" s="3"/>
      <c r="J27" s="3"/>
      <c r="K27" s="3"/>
      <c r="L27" s="2"/>
      <c r="M27" s="2"/>
      <c r="N27" s="1"/>
      <c r="O27" s="11"/>
      <c r="P27" s="71"/>
      <c r="Q27" s="3" t="s">
        <v>107</v>
      </c>
      <c r="R27" s="3">
        <v>13.477309999999999</v>
      </c>
      <c r="S27" s="61">
        <f t="shared" si="0"/>
        <v>28726691.517870501</v>
      </c>
      <c r="T27" s="73">
        <f t="shared" si="1"/>
        <v>-2.8007732168843291E-2</v>
      </c>
    </row>
    <row r="28" spans="1:20" x14ac:dyDescent="0.2">
      <c r="A28" s="14" t="s">
        <v>62</v>
      </c>
      <c r="B28" s="1"/>
      <c r="C28" s="29">
        <f>STDEV(C23:C26)/AVERAGE(C23:C26)</f>
        <v>2.2371513793797838E-3</v>
      </c>
      <c r="D28" s="40"/>
      <c r="E28" s="3"/>
      <c r="F28" s="3"/>
      <c r="G28" s="3"/>
      <c r="H28" s="3"/>
      <c r="I28" s="3"/>
      <c r="J28" s="3"/>
      <c r="K28" s="3"/>
      <c r="L28" s="3"/>
      <c r="M28" s="3"/>
      <c r="N28" s="1"/>
      <c r="O28" s="11"/>
      <c r="P28" s="71"/>
      <c r="Q28" s="3" t="s">
        <v>108</v>
      </c>
      <c r="R28" s="3">
        <v>13.19162</v>
      </c>
      <c r="S28" s="61">
        <f t="shared" si="0"/>
        <v>28117747.411091</v>
      </c>
      <c r="T28" s="73">
        <f t="shared" si="1"/>
        <v>-1.1884543381920725E-2</v>
      </c>
    </row>
    <row r="29" spans="1:20" x14ac:dyDescent="0.2">
      <c r="A29" s="14" t="s">
        <v>27</v>
      </c>
      <c r="B29" s="2"/>
      <c r="C29" s="4">
        <f>AVERAGE(C23:C26)</f>
        <v>20973185.25</v>
      </c>
      <c r="D29" s="40">
        <f>STDEV(D23:D26)/AVERAGE(D23:D26)</f>
        <v>1.2893516862519722E-4</v>
      </c>
      <c r="E29" s="16">
        <f>AVERAGE(E23:E26)</f>
        <v>12.689249999999999</v>
      </c>
      <c r="F29" s="3"/>
      <c r="G29" s="3"/>
      <c r="H29" s="3"/>
      <c r="I29" s="3"/>
      <c r="J29" s="3"/>
      <c r="K29" s="3"/>
      <c r="L29" s="4">
        <f>AVERAGE(L23:L26)</f>
        <v>21314855.5</v>
      </c>
      <c r="M29" s="8"/>
      <c r="N29" s="1"/>
      <c r="O29" s="11"/>
      <c r="P29" s="71"/>
      <c r="Q29" s="3" t="s">
        <v>109</v>
      </c>
      <c r="R29" s="3">
        <v>13.29565</v>
      </c>
      <c r="S29" s="61">
        <f t="shared" si="0"/>
        <v>28339485.852857504</v>
      </c>
      <c r="T29" s="73">
        <f t="shared" si="1"/>
        <v>-2.503579193739747E-3</v>
      </c>
    </row>
    <row r="30" spans="1:20" x14ac:dyDescent="0.2">
      <c r="A30" s="14"/>
      <c r="B30" s="2"/>
      <c r="C30" s="8"/>
      <c r="D30" s="12" t="s">
        <v>58</v>
      </c>
      <c r="E30" s="16"/>
      <c r="F30" s="3"/>
      <c r="G30" s="3"/>
      <c r="H30" s="3"/>
      <c r="I30" s="3"/>
      <c r="J30" s="3"/>
      <c r="K30" s="3"/>
      <c r="L30" s="8"/>
      <c r="M30" s="8"/>
      <c r="N30" s="1"/>
      <c r="O30" s="11"/>
      <c r="P30" s="71"/>
      <c r="Q30" s="3" t="s">
        <v>110</v>
      </c>
      <c r="R30" s="3">
        <v>14.72448</v>
      </c>
      <c r="S30" s="61">
        <f t="shared" si="0"/>
        <v>31385016.351264</v>
      </c>
      <c r="T30" s="73">
        <f t="shared" si="1"/>
        <v>-1.4365569980588588E-2</v>
      </c>
    </row>
    <row r="31" spans="1:20" x14ac:dyDescent="0.2">
      <c r="A31" s="14"/>
      <c r="B31" s="2"/>
      <c r="C31" s="8"/>
      <c r="D31" s="2" t="str">
        <f>IF(D29&lt;=0.72%, "pass", "fail")</f>
        <v>pass</v>
      </c>
      <c r="E31" s="16"/>
      <c r="F31" s="3"/>
      <c r="G31" s="3"/>
      <c r="H31" s="3"/>
      <c r="I31" s="3"/>
      <c r="J31" s="3"/>
      <c r="K31" s="3"/>
      <c r="L31" s="8"/>
      <c r="M31" s="8"/>
      <c r="N31" s="1"/>
      <c r="O31" s="11"/>
      <c r="P31" s="71"/>
      <c r="Q31" s="3" t="s">
        <v>111</v>
      </c>
      <c r="R31" s="3">
        <v>13.25501</v>
      </c>
      <c r="S31" s="61">
        <f t="shared" si="0"/>
        <v>28252862.280105501</v>
      </c>
      <c r="T31" s="73">
        <f t="shared" si="1"/>
        <v>2.9353231287966952E-3</v>
      </c>
    </row>
    <row r="32" spans="1:20" x14ac:dyDescent="0.2">
      <c r="A32" s="14"/>
      <c r="B32" s="12" t="s">
        <v>31</v>
      </c>
      <c r="C32" s="12" t="s">
        <v>33</v>
      </c>
      <c r="D32" s="12" t="s">
        <v>1</v>
      </c>
      <c r="E32" s="15"/>
      <c r="F32" s="3"/>
      <c r="G32" s="3"/>
      <c r="H32" s="3"/>
      <c r="I32" s="3"/>
      <c r="J32" s="3"/>
      <c r="K32" s="3"/>
      <c r="L32" s="1"/>
      <c r="M32" s="1"/>
      <c r="N32" s="3"/>
      <c r="O32" s="20"/>
      <c r="P32" s="71"/>
      <c r="Q32" s="22" t="s">
        <v>112</v>
      </c>
      <c r="R32" s="3">
        <v>13.46674</v>
      </c>
      <c r="S32" s="61">
        <f t="shared" ref="S32" si="5">R50/10*$L$29</f>
        <v>28704161.715606999</v>
      </c>
      <c r="T32" s="73">
        <f t="shared" si="1"/>
        <v>-8.639837207235334E-3</v>
      </c>
    </row>
    <row r="33" spans="1:20" ht="16" thickBot="1" x14ac:dyDescent="0.25">
      <c r="A33" s="52"/>
      <c r="B33" s="53" t="s">
        <v>5</v>
      </c>
      <c r="C33" s="6" t="str">
        <f>IF(C28&lt;=2, "pass", "fail")</f>
        <v>pass</v>
      </c>
      <c r="D33" s="6" t="str">
        <f>IF(AND(D23&gt;95%,D24&gt;95%,D25&gt;95%,D26&gt;95%), "pass", "fail")</f>
        <v>pass</v>
      </c>
      <c r="E33" s="6"/>
      <c r="F33" s="38"/>
      <c r="G33" s="54"/>
      <c r="H33" s="54"/>
      <c r="I33" s="54"/>
      <c r="J33" s="54"/>
      <c r="K33" s="54"/>
      <c r="L33" s="6"/>
      <c r="M33" s="6" t="str">
        <f>IF(AND(M23&gt;0.8,M24&gt;0.8, M25&gt;0.8, M26&gt;0.8), "pass", "fail")</f>
        <v>pass</v>
      </c>
      <c r="N33" s="17"/>
      <c r="O33" s="23"/>
      <c r="P33" s="71"/>
      <c r="Q33" s="72"/>
      <c r="R33" s="54"/>
      <c r="S33" s="70"/>
      <c r="T33" s="74" t="s">
        <v>127</v>
      </c>
    </row>
    <row r="34" spans="1:20" x14ac:dyDescent="0.2">
      <c r="A34" s="2"/>
      <c r="B34" s="15"/>
      <c r="C34" s="15"/>
      <c r="D34" s="15"/>
      <c r="E34" s="15"/>
      <c r="F34" s="1"/>
      <c r="G34" s="1"/>
      <c r="H34" s="1"/>
      <c r="I34" s="1"/>
      <c r="J34" s="1"/>
      <c r="K34" s="1"/>
    </row>
    <row r="35" spans="1:20" ht="16" thickBot="1" x14ac:dyDescent="0.25">
      <c r="A35" s="1"/>
      <c r="B35" s="1"/>
      <c r="C35" s="8"/>
      <c r="D35" s="1"/>
      <c r="E35" s="1"/>
      <c r="F35" s="1"/>
      <c r="G35" s="1"/>
      <c r="H35" s="1"/>
      <c r="I35" s="1"/>
      <c r="J35" s="1"/>
      <c r="K35" s="1"/>
    </row>
    <row r="36" spans="1:20" x14ac:dyDescent="0.2">
      <c r="A36" s="92" t="s">
        <v>46</v>
      </c>
      <c r="B36" s="93"/>
      <c r="C36" s="93"/>
      <c r="D36" s="93"/>
      <c r="E36" s="93"/>
      <c r="F36" s="93"/>
      <c r="G36" s="93"/>
      <c r="H36" s="93"/>
      <c r="I36" s="93"/>
      <c r="J36" s="93"/>
      <c r="K36" s="93"/>
      <c r="L36" s="93"/>
      <c r="M36" s="93"/>
      <c r="N36" s="93"/>
      <c r="O36" s="93"/>
      <c r="P36" s="94"/>
      <c r="R36" s="89" t="s">
        <v>125</v>
      </c>
      <c r="S36" s="90"/>
      <c r="T36" s="91"/>
    </row>
    <row r="37" spans="1:20" x14ac:dyDescent="0.2">
      <c r="A37" s="22" t="s">
        <v>135</v>
      </c>
      <c r="B37" s="3"/>
      <c r="C37" s="2"/>
      <c r="D37" s="2"/>
      <c r="E37" s="2"/>
      <c r="F37" s="2"/>
      <c r="G37" s="1"/>
      <c r="H37" s="1"/>
      <c r="I37" s="1"/>
      <c r="J37" s="1"/>
      <c r="K37" s="1"/>
      <c r="L37" s="1"/>
      <c r="M37" s="1"/>
      <c r="N37" s="1"/>
      <c r="O37" s="1"/>
      <c r="P37" s="11"/>
      <c r="Q37" s="68"/>
      <c r="T37" s="45"/>
    </row>
    <row r="38" spans="1:20" x14ac:dyDescent="0.2">
      <c r="A38" s="22"/>
      <c r="B38" s="3"/>
      <c r="C38" s="2" t="s">
        <v>21</v>
      </c>
      <c r="D38" s="2" t="s">
        <v>11</v>
      </c>
      <c r="E38" s="2" t="s">
        <v>2</v>
      </c>
      <c r="F38" s="2" t="s">
        <v>13</v>
      </c>
      <c r="G38" s="98" t="s">
        <v>90</v>
      </c>
      <c r="H38" s="98"/>
      <c r="I38" s="98"/>
      <c r="J38" s="98"/>
      <c r="K38" s="98"/>
      <c r="L38" s="98"/>
      <c r="M38" s="98"/>
      <c r="N38" s="1"/>
      <c r="O38" s="1"/>
      <c r="P38" s="11"/>
      <c r="Q38" s="68"/>
      <c r="R38" s="2" t="s">
        <v>91</v>
      </c>
      <c r="S38" s="2" t="s">
        <v>121</v>
      </c>
      <c r="T38" s="39" t="s">
        <v>120</v>
      </c>
    </row>
    <row r="39" spans="1:20" x14ac:dyDescent="0.2">
      <c r="A39" s="24" t="s">
        <v>28</v>
      </c>
      <c r="B39" s="2" t="s">
        <v>64</v>
      </c>
      <c r="C39" s="2" t="s">
        <v>25</v>
      </c>
      <c r="D39" s="2" t="s">
        <v>29</v>
      </c>
      <c r="E39" s="2" t="s">
        <v>41</v>
      </c>
      <c r="F39" s="2" t="s">
        <v>65</v>
      </c>
      <c r="G39" s="2" t="s">
        <v>42</v>
      </c>
      <c r="H39" s="2" t="s">
        <v>84</v>
      </c>
      <c r="I39" s="2" t="s">
        <v>85</v>
      </c>
      <c r="J39" s="2" t="s">
        <v>86</v>
      </c>
      <c r="K39" s="2" t="s">
        <v>87</v>
      </c>
      <c r="L39" s="2" t="s">
        <v>88</v>
      </c>
      <c r="M39" s="2" t="s">
        <v>34</v>
      </c>
      <c r="N39" s="2" t="s">
        <v>59</v>
      </c>
      <c r="O39" s="2" t="s">
        <v>34</v>
      </c>
      <c r="P39" s="39" t="s">
        <v>89</v>
      </c>
      <c r="Q39" s="68"/>
      <c r="R39" s="2" t="s">
        <v>92</v>
      </c>
      <c r="T39" s="45"/>
    </row>
    <row r="40" spans="1:20" x14ac:dyDescent="0.2">
      <c r="A40" s="7"/>
      <c r="B40" s="3"/>
      <c r="C40" s="2" t="s">
        <v>51</v>
      </c>
      <c r="D40" s="2" t="s">
        <v>51</v>
      </c>
      <c r="E40" s="2"/>
      <c r="F40" s="2"/>
      <c r="G40" s="2"/>
      <c r="H40" s="2"/>
      <c r="I40" s="2"/>
      <c r="J40" s="2"/>
      <c r="K40" s="2"/>
      <c r="L40" s="2"/>
      <c r="M40" s="2"/>
      <c r="N40" s="2" t="s">
        <v>60</v>
      </c>
      <c r="O40" s="2" t="s">
        <v>60</v>
      </c>
      <c r="P40" s="39" t="s">
        <v>60</v>
      </c>
      <c r="Q40" s="68"/>
      <c r="T40" s="45"/>
    </row>
    <row r="41" spans="1:20" x14ac:dyDescent="0.2">
      <c r="A41" s="18"/>
      <c r="B41" s="3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36"/>
      <c r="Q41" s="68"/>
      <c r="R41">
        <v>12.20255</v>
      </c>
      <c r="S41" s="65">
        <f>E42</f>
        <v>27722627</v>
      </c>
      <c r="T41" s="67">
        <f t="shared" ref="T41:T50" si="6">M42/E42*S41</f>
        <v>26984967</v>
      </c>
    </row>
    <row r="42" spans="1:20" x14ac:dyDescent="0.2">
      <c r="A42" s="62" t="s">
        <v>94</v>
      </c>
      <c r="B42" s="3">
        <v>10581</v>
      </c>
      <c r="C42" s="21">
        <f>12.688</f>
        <v>12.688000000000001</v>
      </c>
      <c r="D42" s="21">
        <f>(C42-$E$29)</f>
        <v>-1.2499999999988631E-3</v>
      </c>
      <c r="E42" s="63">
        <f t="shared" ref="E42:E51" si="7">SUM(G42:M42)</f>
        <v>27722627</v>
      </c>
      <c r="F42" s="75">
        <f>($L$29-E42)/$L$29</f>
        <v>-0.30062467465472614</v>
      </c>
      <c r="G42" s="64">
        <f>641202</f>
        <v>641202</v>
      </c>
      <c r="H42" s="64">
        <f>25945</f>
        <v>25945</v>
      </c>
      <c r="I42" s="64">
        <f>5943</f>
        <v>5943</v>
      </c>
      <c r="J42" s="64">
        <v>0</v>
      </c>
      <c r="K42" s="64">
        <f>25986</f>
        <v>25986</v>
      </c>
      <c r="L42" s="64">
        <f>38584</f>
        <v>38584</v>
      </c>
      <c r="M42" s="64">
        <f>26984967</f>
        <v>26984967</v>
      </c>
      <c r="N42" s="26">
        <f>(SUM(G42:J42))/E42</f>
        <v>2.427944509010636E-2</v>
      </c>
      <c r="O42" s="43">
        <f t="shared" ref="O42:O51" si="8">M42/E42</f>
        <v>0.97339141056148826</v>
      </c>
      <c r="P42" s="58">
        <f>SUM(K42:L42)/E42</f>
        <v>2.3291443484053658E-3</v>
      </c>
      <c r="Q42" s="68"/>
      <c r="R42">
        <v>12.4152</v>
      </c>
      <c r="S42" s="65">
        <f>E43</f>
        <v>27831991</v>
      </c>
      <c r="T42" s="67">
        <f t="shared" si="6"/>
        <v>27097200</v>
      </c>
    </row>
    <row r="43" spans="1:20" x14ac:dyDescent="0.2">
      <c r="A43" s="62" t="s">
        <v>95</v>
      </c>
      <c r="B43" s="3">
        <v>10582</v>
      </c>
      <c r="C43" s="21">
        <f>12.687</f>
        <v>12.686999999999999</v>
      </c>
      <c r="D43" s="21">
        <f t="shared" ref="D43:D51" si="9">(C43-$E$29)</f>
        <v>-2.2500000000000853E-3</v>
      </c>
      <c r="E43" s="63">
        <f t="shared" si="7"/>
        <v>27831991</v>
      </c>
      <c r="F43" s="75">
        <f>($L$29-E43)/$L$29</f>
        <v>-0.30575555625981138</v>
      </c>
      <c r="G43" s="57">
        <f>643998</f>
        <v>643998</v>
      </c>
      <c r="H43" s="57">
        <f>23949</f>
        <v>23949</v>
      </c>
      <c r="I43" s="57">
        <f>5302</f>
        <v>5302</v>
      </c>
      <c r="J43" s="57">
        <v>0</v>
      </c>
      <c r="K43" s="57">
        <f>22783</f>
        <v>22783</v>
      </c>
      <c r="L43" s="57">
        <f>38759</f>
        <v>38759</v>
      </c>
      <c r="M43" s="57">
        <f>27097200</f>
        <v>27097200</v>
      </c>
      <c r="N43" s="26">
        <f t="shared" ref="N43:N51" si="10">(G43)/E43</f>
        <v>2.3138768620613596E-2</v>
      </c>
      <c r="O43" s="43">
        <f t="shared" si="8"/>
        <v>0.97359905010029646</v>
      </c>
      <c r="P43" s="58">
        <f t="shared" ref="P43:P51" si="11">SUM(K43:L43)/E43</f>
        <v>2.2111964609359065E-3</v>
      </c>
      <c r="Q43" s="68"/>
      <c r="R43">
        <v>13.16743</v>
      </c>
      <c r="S43" s="65">
        <f>E44/R43*AVERAGE($R$41:$R$42)</f>
        <v>26624988.337274246</v>
      </c>
      <c r="T43" s="67">
        <f>M44/E44*S43</f>
        <v>25926175.177872602</v>
      </c>
    </row>
    <row r="44" spans="1:20" x14ac:dyDescent="0.2">
      <c r="A44" s="62" t="s">
        <v>96</v>
      </c>
      <c r="B44" s="3">
        <v>10583</v>
      </c>
      <c r="C44" s="21">
        <f>12.688</f>
        <v>12.688000000000001</v>
      </c>
      <c r="D44" s="21">
        <f t="shared" si="9"/>
        <v>-1.2499999999988631E-3</v>
      </c>
      <c r="E44" s="63">
        <f t="shared" si="7"/>
        <v>28482105</v>
      </c>
      <c r="F44" s="75">
        <f t="shared" ref="F44:F51" si="12">($L$29-E44)/$L$29</f>
        <v>-0.3362560679803811</v>
      </c>
      <c r="G44" s="57">
        <f>647495</f>
        <v>647495</v>
      </c>
      <c r="H44" s="57">
        <f>28410</f>
        <v>28410</v>
      </c>
      <c r="I44" s="57">
        <f>4504</f>
        <v>4504</v>
      </c>
      <c r="J44" s="57">
        <f>0</f>
        <v>0</v>
      </c>
      <c r="K44" s="57">
        <f>26949</f>
        <v>26949</v>
      </c>
      <c r="L44" s="57">
        <f>40198</f>
        <v>40198</v>
      </c>
      <c r="M44" s="57">
        <f>27734549</f>
        <v>27734549</v>
      </c>
      <c r="N44" s="26">
        <f t="shared" si="10"/>
        <v>2.2733396987336434E-2</v>
      </c>
      <c r="O44" s="43">
        <f t="shared" si="8"/>
        <v>0.97375348486356605</v>
      </c>
      <c r="P44" s="58">
        <f t="shared" si="11"/>
        <v>2.3575153592053678E-3</v>
      </c>
      <c r="Q44" s="68"/>
      <c r="R44">
        <v>13.182729999999999</v>
      </c>
      <c r="S44" s="65">
        <f t="shared" ref="S44:S50" si="13">E45/R44*AVERAGE($R$41:$R$42)</f>
        <v>26574295.23008512</v>
      </c>
      <c r="T44" s="67">
        <f t="shared" si="6"/>
        <v>25838497.386192009</v>
      </c>
    </row>
    <row r="45" spans="1:20" x14ac:dyDescent="0.2">
      <c r="A45" s="62" t="s">
        <v>97</v>
      </c>
      <c r="B45" s="3">
        <v>10584</v>
      </c>
      <c r="C45" s="21">
        <f>12.688</f>
        <v>12.688000000000001</v>
      </c>
      <c r="D45" s="21">
        <f t="shared" si="9"/>
        <v>-1.2499999999988631E-3</v>
      </c>
      <c r="E45" s="63">
        <f t="shared" si="7"/>
        <v>28460908</v>
      </c>
      <c r="F45" s="75">
        <f t="shared" si="12"/>
        <v>-0.33526159724610849</v>
      </c>
      <c r="G45" s="57">
        <f>654090</f>
        <v>654090</v>
      </c>
      <c r="H45" s="57">
        <f>25307</f>
        <v>25307</v>
      </c>
      <c r="I45" s="57">
        <f>6436</f>
        <v>6436</v>
      </c>
      <c r="J45" s="57">
        <f>34764</f>
        <v>34764</v>
      </c>
      <c r="K45" s="57">
        <f>27062</f>
        <v>27062</v>
      </c>
      <c r="L45" s="57">
        <f>40376</f>
        <v>40376</v>
      </c>
      <c r="M45" s="57">
        <f>27672873</f>
        <v>27672873</v>
      </c>
      <c r="N45" s="26">
        <f t="shared" si="10"/>
        <v>2.2982049623996536E-2</v>
      </c>
      <c r="O45" s="43">
        <f t="shared" si="8"/>
        <v>0.97231167044986755</v>
      </c>
      <c r="P45" s="58">
        <f t="shared" si="11"/>
        <v>2.3694957307757013E-3</v>
      </c>
      <c r="Q45" s="68"/>
      <c r="R45">
        <v>13.477309999999999</v>
      </c>
      <c r="S45" s="65">
        <f t="shared" si="13"/>
        <v>26971005.35948012</v>
      </c>
      <c r="T45" s="67">
        <f t="shared" si="6"/>
        <v>26267390.828594506</v>
      </c>
    </row>
    <row r="46" spans="1:20" x14ac:dyDescent="0.2">
      <c r="A46" s="62" t="s">
        <v>98</v>
      </c>
      <c r="B46" s="3">
        <v>10585</v>
      </c>
      <c r="C46" s="21">
        <f>12.688</f>
        <v>12.688000000000001</v>
      </c>
      <c r="D46" s="21">
        <f t="shared" si="9"/>
        <v>-1.2499999999988631E-3</v>
      </c>
      <c r="E46" s="63">
        <f t="shared" si="7"/>
        <v>29531261</v>
      </c>
      <c r="F46" s="75">
        <f t="shared" si="12"/>
        <v>-0.38547788888364737</v>
      </c>
      <c r="G46" s="57">
        <f>679874</f>
        <v>679874</v>
      </c>
      <c r="H46" s="57">
        <f>22256</f>
        <v>22256</v>
      </c>
      <c r="I46" s="57">
        <v>0</v>
      </c>
      <c r="J46" s="57">
        <v>0</v>
      </c>
      <c r="K46" s="57">
        <f>25803</f>
        <v>25803</v>
      </c>
      <c r="L46" s="57">
        <f>42473</f>
        <v>42473</v>
      </c>
      <c r="M46" s="57">
        <f>28760855</f>
        <v>28760855</v>
      </c>
      <c r="N46" s="26">
        <f t="shared" si="10"/>
        <v>2.3022179784330916E-2</v>
      </c>
      <c r="O46" s="43">
        <f t="shared" si="8"/>
        <v>0.97391218749514286</v>
      </c>
      <c r="P46" s="58">
        <f t="shared" si="11"/>
        <v>2.3119906732055905E-3</v>
      </c>
      <c r="Q46" s="68"/>
      <c r="R46">
        <v>13.19162</v>
      </c>
      <c r="S46" s="65">
        <f t="shared" si="13"/>
        <v>26547994.32797109</v>
      </c>
      <c r="T46" s="67">
        <f t="shared" si="6"/>
        <v>25845290.531650014</v>
      </c>
    </row>
    <row r="47" spans="1:20" x14ac:dyDescent="0.2">
      <c r="A47" s="62" t="s">
        <v>99</v>
      </c>
      <c r="B47" s="3">
        <v>10586</v>
      </c>
      <c r="C47" s="21">
        <f>12.686</f>
        <v>12.686</v>
      </c>
      <c r="D47" s="21">
        <f t="shared" si="9"/>
        <v>-3.249999999999531E-3</v>
      </c>
      <c r="E47" s="63">
        <f t="shared" si="7"/>
        <v>28451914</v>
      </c>
      <c r="F47" s="75">
        <f t="shared" si="12"/>
        <v>-0.33483963801678129</v>
      </c>
      <c r="G47" s="57">
        <f>644599</f>
        <v>644599</v>
      </c>
      <c r="H47" s="57">
        <f>22572</f>
        <v>22572</v>
      </c>
      <c r="I47" s="57">
        <v>0</v>
      </c>
      <c r="J47" s="57">
        <f>19398</f>
        <v>19398</v>
      </c>
      <c r="K47" s="57">
        <f>25578</f>
        <v>25578</v>
      </c>
      <c r="L47" s="57">
        <f>40952</f>
        <v>40952</v>
      </c>
      <c r="M47" s="57">
        <f>27698815</f>
        <v>27698815</v>
      </c>
      <c r="N47" s="26">
        <f t="shared" si="10"/>
        <v>2.2655734162559327E-2</v>
      </c>
      <c r="O47" s="43">
        <f t="shared" si="8"/>
        <v>0.97353081413081732</v>
      </c>
      <c r="P47" s="58">
        <f t="shared" si="11"/>
        <v>2.3383312630566788E-3</v>
      </c>
      <c r="Q47" s="68"/>
      <c r="R47">
        <v>13.29565</v>
      </c>
      <c r="S47" s="65">
        <f t="shared" si="13"/>
        <v>26301873.576658532</v>
      </c>
      <c r="T47" s="67">
        <f t="shared" si="6"/>
        <v>25615212.648657642</v>
      </c>
    </row>
    <row r="48" spans="1:20" x14ac:dyDescent="0.2">
      <c r="A48" s="62" t="s">
        <v>100</v>
      </c>
      <c r="B48" s="3">
        <v>10587</v>
      </c>
      <c r="C48" s="21">
        <f>12.689</f>
        <v>12.689</v>
      </c>
      <c r="D48" s="21">
        <f t="shared" si="9"/>
        <v>-2.4999999999941735E-4</v>
      </c>
      <c r="E48" s="63">
        <f t="shared" si="7"/>
        <v>28410436</v>
      </c>
      <c r="F48" s="75">
        <f t="shared" si="12"/>
        <v>-0.33289367127072478</v>
      </c>
      <c r="G48" s="57">
        <f>655880</f>
        <v>655880</v>
      </c>
      <c r="H48" s="57">
        <f>18396</f>
        <v>18396</v>
      </c>
      <c r="I48" s="57">
        <v>0</v>
      </c>
      <c r="J48" s="57">
        <v>0</v>
      </c>
      <c r="K48" s="57">
        <f>27510</f>
        <v>27510</v>
      </c>
      <c r="L48" s="57">
        <f>39923</f>
        <v>39923</v>
      </c>
      <c r="M48" s="57">
        <f>27668727</f>
        <v>27668727</v>
      </c>
      <c r="N48" s="26">
        <f t="shared" si="10"/>
        <v>2.3085882948082882E-2</v>
      </c>
      <c r="O48" s="43">
        <f t="shared" si="8"/>
        <v>0.97389307928959623</v>
      </c>
      <c r="P48" s="58">
        <f t="shared" si="11"/>
        <v>2.3735292200373131E-3</v>
      </c>
      <c r="Q48" s="68"/>
      <c r="R48">
        <v>14.72448</v>
      </c>
      <c r="S48" s="65">
        <f t="shared" si="13"/>
        <v>26613087.011222128</v>
      </c>
      <c r="T48" s="67">
        <f t="shared" si="6"/>
        <v>25909505.260041442</v>
      </c>
    </row>
    <row r="49" spans="1:20" x14ac:dyDescent="0.2">
      <c r="A49" s="62" t="s">
        <v>101</v>
      </c>
      <c r="B49" s="3">
        <v>10588</v>
      </c>
      <c r="C49" s="21">
        <f>12.689</f>
        <v>12.689</v>
      </c>
      <c r="D49" s="21">
        <f t="shared" si="9"/>
        <v>-2.4999999999941735E-4</v>
      </c>
      <c r="E49" s="63">
        <f t="shared" si="7"/>
        <v>31835880</v>
      </c>
      <c r="F49" s="75">
        <f t="shared" si="12"/>
        <v>-0.49360055478677772</v>
      </c>
      <c r="G49" s="57">
        <f>729377</f>
        <v>729377</v>
      </c>
      <c r="H49" s="57">
        <f>25017</f>
        <v>25017</v>
      </c>
      <c r="I49" s="57">
        <v>0</v>
      </c>
      <c r="J49" s="57">
        <f>12964</f>
        <v>12964</v>
      </c>
      <c r="K49" s="57">
        <f>29104</f>
        <v>29104</v>
      </c>
      <c r="L49" s="57">
        <f>45197</f>
        <v>45197</v>
      </c>
      <c r="M49" s="57">
        <f>30994221</f>
        <v>30994221</v>
      </c>
      <c r="N49" s="26">
        <f t="shared" si="10"/>
        <v>2.291053364945464E-2</v>
      </c>
      <c r="O49" s="43">
        <f t="shared" si="8"/>
        <v>0.9735625652565596</v>
      </c>
      <c r="P49" s="58">
        <f t="shared" si="11"/>
        <v>2.3338761171357602E-3</v>
      </c>
      <c r="Q49" s="68"/>
      <c r="R49">
        <v>13.25501</v>
      </c>
      <c r="S49" s="65">
        <f t="shared" si="13"/>
        <v>26159177.506288189</v>
      </c>
      <c r="T49" s="67">
        <f t="shared" si="6"/>
        <v>25476568.02307203</v>
      </c>
    </row>
    <row r="50" spans="1:20" x14ac:dyDescent="0.2">
      <c r="A50" s="62" t="s">
        <v>102</v>
      </c>
      <c r="B50" s="3">
        <v>10589</v>
      </c>
      <c r="C50" s="21">
        <f>12.689</f>
        <v>12.689</v>
      </c>
      <c r="D50" s="21">
        <f t="shared" si="9"/>
        <v>-2.4999999999941735E-4</v>
      </c>
      <c r="E50" s="63">
        <f t="shared" si="7"/>
        <v>28169931</v>
      </c>
      <c r="F50" s="75">
        <f t="shared" si="12"/>
        <v>-0.32161022625745694</v>
      </c>
      <c r="G50" s="57">
        <f>646594</f>
        <v>646594</v>
      </c>
      <c r="H50" s="57">
        <f>20175</f>
        <v>20175</v>
      </c>
      <c r="I50" s="57">
        <v>0</v>
      </c>
      <c r="J50" s="57">
        <v>0</v>
      </c>
      <c r="K50" s="57">
        <f>27805</f>
        <v>27805</v>
      </c>
      <c r="L50" s="57">
        <f>40505</f>
        <v>40505</v>
      </c>
      <c r="M50" s="57">
        <f>27434852</f>
        <v>27434852</v>
      </c>
      <c r="N50" s="26">
        <f t="shared" si="10"/>
        <v>2.2953339857310975E-2</v>
      </c>
      <c r="O50" s="43">
        <f t="shared" si="8"/>
        <v>0.97390554488756109</v>
      </c>
      <c r="P50" s="58">
        <f t="shared" si="11"/>
        <v>2.4249260674440417E-3</v>
      </c>
      <c r="Q50" s="68"/>
      <c r="R50">
        <v>13.46674</v>
      </c>
      <c r="S50" s="65">
        <f t="shared" si="13"/>
        <v>26462865.602876052</v>
      </c>
      <c r="T50" s="67">
        <f t="shared" si="6"/>
        <v>25686975.626942754</v>
      </c>
    </row>
    <row r="51" spans="1:20" ht="16" thickBot="1" x14ac:dyDescent="0.25">
      <c r="A51" s="62" t="s">
        <v>103</v>
      </c>
      <c r="B51" s="3">
        <v>10590</v>
      </c>
      <c r="C51" s="21">
        <f>12.689</f>
        <v>12.689</v>
      </c>
      <c r="D51" s="21">
        <f t="shared" si="9"/>
        <v>-2.4999999999941735E-4</v>
      </c>
      <c r="E51" s="63">
        <f t="shared" si="7"/>
        <v>28952161</v>
      </c>
      <c r="F51" s="75">
        <f t="shared" si="12"/>
        <v>-0.35830904413121639</v>
      </c>
      <c r="G51" s="57">
        <f>650113</f>
        <v>650113</v>
      </c>
      <c r="H51" s="57">
        <f>23720</f>
        <v>23720</v>
      </c>
      <c r="I51" s="57">
        <v>0</v>
      </c>
      <c r="J51" s="57">
        <f>106569</f>
        <v>106569</v>
      </c>
      <c r="K51" s="57">
        <f>27087</f>
        <v>27087</v>
      </c>
      <c r="L51" s="57">
        <f>41387</f>
        <v>41387</v>
      </c>
      <c r="M51" s="57">
        <f>28103285</f>
        <v>28103285</v>
      </c>
      <c r="N51" s="26">
        <f t="shared" si="10"/>
        <v>2.2454731444744313E-2</v>
      </c>
      <c r="O51" s="43">
        <f t="shared" si="8"/>
        <v>0.97068004699200172</v>
      </c>
      <c r="P51" s="58">
        <f t="shared" si="11"/>
        <v>2.3650738886123214E-3</v>
      </c>
      <c r="Q51" s="68"/>
      <c r="R51" s="69"/>
      <c r="S51" s="66"/>
      <c r="T51" s="27"/>
    </row>
    <row r="52" spans="1:20" x14ac:dyDescent="0.2">
      <c r="A52" s="18"/>
      <c r="B52" s="3"/>
      <c r="C52" s="15"/>
      <c r="D52" s="21"/>
      <c r="E52" s="13"/>
      <c r="F52" s="28"/>
      <c r="G52" s="13"/>
      <c r="H52" s="13"/>
      <c r="I52" s="35"/>
      <c r="J52" s="47"/>
      <c r="K52" s="47"/>
      <c r="L52" s="47"/>
      <c r="M52" s="47"/>
      <c r="N52" s="47"/>
      <c r="O52" s="47"/>
      <c r="P52" s="11"/>
      <c r="Q52" s="55"/>
    </row>
    <row r="53" spans="1:20" x14ac:dyDescent="0.2">
      <c r="A53" s="7" t="s">
        <v>50</v>
      </c>
      <c r="B53" s="3"/>
      <c r="C53" s="1"/>
      <c r="D53" s="16">
        <f>ABS(MIN(D43:D51))</f>
        <v>3.249999999999531E-3</v>
      </c>
      <c r="E53" s="2"/>
      <c r="F53" s="2" t="s">
        <v>54</v>
      </c>
      <c r="G53" s="1"/>
      <c r="H53" s="1"/>
      <c r="I53" s="1"/>
      <c r="J53" s="1"/>
      <c r="K53" s="1"/>
      <c r="L53" s="1"/>
      <c r="M53" s="1"/>
      <c r="N53" s="1"/>
      <c r="O53" s="1"/>
      <c r="P53" s="11"/>
    </row>
    <row r="54" spans="1:20" x14ac:dyDescent="0.2">
      <c r="A54" s="7" t="s">
        <v>40</v>
      </c>
      <c r="B54" s="3"/>
      <c r="C54" s="1"/>
      <c r="D54" s="2" t="str">
        <f>IF(AND(D53&lt;=0.1), "pass", "fail")</f>
        <v>pass</v>
      </c>
      <c r="E54" s="2"/>
      <c r="F54" s="2" t="s">
        <v>43</v>
      </c>
      <c r="G54" s="1" t="s">
        <v>128</v>
      </c>
      <c r="H54" s="1"/>
      <c r="I54" s="1"/>
      <c r="J54" s="1"/>
      <c r="K54" s="1"/>
      <c r="L54" s="1"/>
      <c r="M54" s="1"/>
      <c r="N54" s="1"/>
      <c r="O54" s="1"/>
      <c r="P54" s="11"/>
    </row>
    <row r="55" spans="1:20" x14ac:dyDescent="0.2">
      <c r="A55" s="22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11"/>
    </row>
    <row r="56" spans="1:20" ht="15" customHeight="1" thickBot="1" x14ac:dyDescent="0.25">
      <c r="A56" s="95"/>
      <c r="B56" s="96"/>
      <c r="C56" s="96"/>
      <c r="D56" s="96"/>
      <c r="E56" s="96"/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7"/>
    </row>
    <row r="57" spans="1:20" ht="16" thickBot="1" x14ac:dyDescent="0.25"/>
    <row r="58" spans="1:20" x14ac:dyDescent="0.2">
      <c r="A58" s="89" t="s">
        <v>129</v>
      </c>
      <c r="B58" s="90"/>
      <c r="C58" s="90"/>
      <c r="D58" s="90"/>
      <c r="E58" s="91"/>
    </row>
    <row r="59" spans="1:20" x14ac:dyDescent="0.2">
      <c r="A59" s="80"/>
      <c r="B59" s="81"/>
      <c r="C59" s="81"/>
      <c r="D59" s="81"/>
      <c r="E59" s="82"/>
    </row>
    <row r="60" spans="1:20" x14ac:dyDescent="0.2">
      <c r="A60" s="55"/>
      <c r="C60" s="76" t="s">
        <v>123</v>
      </c>
      <c r="D60" s="76" t="s">
        <v>122</v>
      </c>
      <c r="E60" s="79" t="s">
        <v>124</v>
      </c>
    </row>
    <row r="61" spans="1:20" x14ac:dyDescent="0.2">
      <c r="A61" s="55" t="s">
        <v>113</v>
      </c>
      <c r="C61" s="65">
        <f>AVERAGE(M42:M43)</f>
        <v>27041083.5</v>
      </c>
      <c r="D61" s="77">
        <f>AVERAGE(T41,T42)</f>
        <v>27041083.5</v>
      </c>
      <c r="E61" s="78">
        <f>STDEV(T41,T42)</f>
        <v>79360.715372909792</v>
      </c>
    </row>
    <row r="62" spans="1:20" x14ac:dyDescent="0.2">
      <c r="A62" s="55" t="s">
        <v>114</v>
      </c>
      <c r="C62" s="65">
        <f>AVERAGE(M44,M46)</f>
        <v>28247702</v>
      </c>
      <c r="D62" s="77">
        <f>AVERAGE(T43,T45)</f>
        <v>26096783.003233552</v>
      </c>
      <c r="E62" s="78">
        <f>STDEV(T43,T45)</f>
        <v>241275.90047243872</v>
      </c>
    </row>
    <row r="63" spans="1:20" x14ac:dyDescent="0.2">
      <c r="A63" s="55" t="s">
        <v>115</v>
      </c>
      <c r="C63" s="65">
        <f>AVERAGE(M45, M47)</f>
        <v>27685844</v>
      </c>
      <c r="D63" s="77">
        <f>AVERAGE(T44,T46)</f>
        <v>25841893.958921012</v>
      </c>
      <c r="E63" s="78">
        <f>STDEV(T44,T46)</f>
        <v>4803.4792189421914</v>
      </c>
    </row>
    <row r="64" spans="1:20" x14ac:dyDescent="0.2">
      <c r="A64" s="55" t="s">
        <v>116</v>
      </c>
      <c r="C64" s="65">
        <f>AVERAGE(M50,M48)</f>
        <v>27551789.5</v>
      </c>
      <c r="D64" s="77">
        <f>AVERAGE(T49,T47)</f>
        <v>25545890.335864834</v>
      </c>
      <c r="E64" s="78">
        <f>STDEV(T49,T47)</f>
        <v>98036.554926656085</v>
      </c>
    </row>
    <row r="65" spans="1:5" x14ac:dyDescent="0.2">
      <c r="A65" s="55" t="s">
        <v>117</v>
      </c>
      <c r="C65" s="65">
        <f>AVERAGE(M51,M49)</f>
        <v>29548753</v>
      </c>
      <c r="D65" s="77">
        <f>AVERAGE(T50,T48)</f>
        <v>25798240.4434921</v>
      </c>
      <c r="E65" s="78">
        <f>STDEV(T50,T48)</f>
        <v>157352.21257903666</v>
      </c>
    </row>
    <row r="66" spans="1:5" x14ac:dyDescent="0.2">
      <c r="A66" s="55"/>
      <c r="E66" s="45"/>
    </row>
    <row r="67" spans="1:5" x14ac:dyDescent="0.2">
      <c r="A67" s="83" t="s">
        <v>130</v>
      </c>
      <c r="B67" s="84"/>
      <c r="C67" s="85">
        <f>($C$61-C62)/$C$61</f>
        <v>-4.4621677234198104E-2</v>
      </c>
      <c r="D67" s="85">
        <f>($D$61-D62)/$D$61</f>
        <v>3.4920956357627014E-2</v>
      </c>
      <c r="E67" s="86">
        <f>1/$D$61*SQRT(POWER(D62,2)/POWER($D$61,2)*POWER($E$61,2)+POWER(E62,2))</f>
        <v>9.3613208577392505E-3</v>
      </c>
    </row>
    <row r="68" spans="1:5" x14ac:dyDescent="0.2">
      <c r="A68" s="83" t="s">
        <v>131</v>
      </c>
      <c r="B68" s="84"/>
      <c r="C68" s="85">
        <f t="shared" ref="C68:C70" si="14">($C$61-C63)/$C$61</f>
        <v>-2.3843737622421823E-2</v>
      </c>
      <c r="D68" s="85">
        <f>($D$61-D63)/$D$61</f>
        <v>4.4346948637579126E-2</v>
      </c>
      <c r="E68" s="86">
        <f>1/$D$61*SQRT(POWER(D63,2)/POWER($D$61,2)*POWER($E$61,2)+POWER(E63,2))</f>
        <v>2.8102895340270761E-3</v>
      </c>
    </row>
    <row r="69" spans="1:5" x14ac:dyDescent="0.2">
      <c r="A69" s="83" t="s">
        <v>132</v>
      </c>
      <c r="B69" s="84"/>
      <c r="C69" s="85">
        <f t="shared" si="14"/>
        <v>-1.8886299433970535E-2</v>
      </c>
      <c r="D69" s="85">
        <f>($D$61-D64)/$D$61</f>
        <v>5.5293389561670687E-2</v>
      </c>
      <c r="E69" s="86">
        <f>1/$D$61*SQRT(POWER(D64,2)/POWER($D$61,2)*POWER($E$61,2)+POWER(E64,2))</f>
        <v>4.5641002027998288E-3</v>
      </c>
    </row>
    <row r="70" spans="1:5" x14ac:dyDescent="0.2">
      <c r="A70" s="83" t="s">
        <v>133</v>
      </c>
      <c r="B70" s="84"/>
      <c r="C70" s="85">
        <f t="shared" si="14"/>
        <v>-9.273554071899523E-2</v>
      </c>
      <c r="D70" s="85">
        <f>($D$61-D65)/$D$61</f>
        <v>4.5961289106921342E-2</v>
      </c>
      <c r="E70" s="86">
        <f>1/$D$61*SQRT(POWER(D65,2)/POWER($D$61,2)*POWER($E$61,2)+POWER(E65,2))</f>
        <v>6.4575880700658153E-3</v>
      </c>
    </row>
    <row r="71" spans="1:5" ht="16" thickBot="1" x14ac:dyDescent="0.25">
      <c r="A71" s="69"/>
      <c r="B71" s="66"/>
      <c r="C71" s="66"/>
      <c r="D71" s="66"/>
      <c r="E71" s="87" t="s">
        <v>134</v>
      </c>
    </row>
  </sheetData>
  <mergeCells count="9">
    <mergeCell ref="R36:T36"/>
    <mergeCell ref="Q19:T19"/>
    <mergeCell ref="A58:E58"/>
    <mergeCell ref="A36:P36"/>
    <mergeCell ref="A56:P56"/>
    <mergeCell ref="G38:M38"/>
    <mergeCell ref="A3:D3"/>
    <mergeCell ref="A19:O19"/>
    <mergeCell ref="A11:L11"/>
  </mergeCells>
  <phoneticPr fontId="7" type="noConversion"/>
  <conditionalFormatting sqref="B16 D54 F54">
    <cfRule type="expression" dxfId="1" priority="5" stopIfTrue="1">
      <formula>NOT(ISERROR(SEARCH("pass",B16)))</formula>
    </cfRule>
  </conditionalFormatting>
  <conditionalFormatting sqref="C9:D10 D31 C33:E33 L33:M33">
    <cfRule type="expression" dxfId="0" priority="8" stopIfTrue="1">
      <formula>NOT(ISERROR(SEARCH("pass",C9)))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Sample preparation</vt:lpstr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Eduard Meier</cp:lastModifiedBy>
  <dcterms:created xsi:type="dcterms:W3CDTF">2023-08-09T10:05:32Z</dcterms:created>
  <dcterms:modified xsi:type="dcterms:W3CDTF">2023-08-16T12:45:10Z</dcterms:modified>
</cp:coreProperties>
</file>