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770"/>
  </bookViews>
  <sheets>
    <sheet name="111111111111111111" sheetId="1" r:id="rId1"/>
  </sheets>
  <definedNames>
    <definedName name="_xlnm._FilterDatabase" localSheetId="0" hidden="1">'111111111111111111'!$A$1:$H$299</definedName>
  </definedNames>
  <calcPr calcId="14562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A2" i="1"/>
  <c r="C2" i="1"/>
  <c r="D2" i="1"/>
  <c r="E2" i="1"/>
  <c r="A3" i="1"/>
  <c r="C3" i="1"/>
  <c r="D3" i="1"/>
  <c r="E3" i="1"/>
  <c r="A4" i="1"/>
  <c r="C4" i="1"/>
  <c r="D4" i="1"/>
  <c r="E4" i="1"/>
  <c r="A5" i="1"/>
  <c r="C5" i="1"/>
  <c r="D5" i="1"/>
  <c r="E5" i="1"/>
  <c r="A6" i="1"/>
  <c r="C6" i="1"/>
  <c r="D6" i="1"/>
  <c r="E6" i="1"/>
  <c r="A7" i="1"/>
  <c r="C7" i="1"/>
  <c r="D7" i="1"/>
  <c r="E7" i="1"/>
  <c r="A8" i="1"/>
  <c r="C8" i="1"/>
  <c r="D8" i="1"/>
  <c r="E8" i="1"/>
  <c r="A9" i="1"/>
  <c r="C9" i="1"/>
  <c r="D9" i="1"/>
  <c r="E9" i="1"/>
  <c r="A10" i="1"/>
  <c r="C10" i="1"/>
  <c r="D10" i="1"/>
  <c r="E10" i="1"/>
  <c r="A11" i="1"/>
  <c r="C11" i="1"/>
  <c r="D11" i="1"/>
  <c r="E11" i="1"/>
  <c r="A12" i="1"/>
  <c r="C12" i="1"/>
  <c r="D12" i="1"/>
  <c r="E12" i="1"/>
  <c r="A13" i="1"/>
  <c r="C13" i="1"/>
  <c r="D13" i="1"/>
  <c r="E13" i="1"/>
  <c r="A14" i="1"/>
  <c r="C14" i="1"/>
  <c r="D14" i="1"/>
  <c r="E14" i="1"/>
  <c r="A15" i="1"/>
  <c r="C15" i="1"/>
  <c r="D15" i="1"/>
  <c r="E15" i="1"/>
  <c r="A16" i="1"/>
  <c r="C16" i="1"/>
  <c r="D16" i="1"/>
  <c r="E16" i="1"/>
  <c r="A17" i="1"/>
  <c r="C17" i="1"/>
  <c r="D17" i="1"/>
  <c r="E17" i="1"/>
  <c r="A18" i="1"/>
  <c r="C18" i="1"/>
  <c r="D18" i="1"/>
  <c r="E18" i="1"/>
  <c r="A19" i="1"/>
  <c r="C19" i="1"/>
  <c r="D19" i="1"/>
  <c r="E19" i="1"/>
  <c r="A20" i="1"/>
  <c r="C20" i="1"/>
  <c r="D20" i="1"/>
  <c r="E20" i="1"/>
  <c r="A21" i="1"/>
  <c r="C21" i="1"/>
  <c r="D21" i="1"/>
  <c r="E21" i="1"/>
  <c r="A22" i="1"/>
  <c r="C22" i="1"/>
  <c r="D22" i="1"/>
  <c r="E22" i="1"/>
  <c r="A23" i="1"/>
  <c r="C23" i="1"/>
  <c r="D23" i="1"/>
  <c r="E23" i="1"/>
  <c r="A24" i="1"/>
  <c r="C24" i="1"/>
  <c r="D24" i="1"/>
  <c r="E24" i="1"/>
  <c r="A25" i="1"/>
  <c r="C25" i="1"/>
  <c r="D25" i="1"/>
  <c r="E25" i="1"/>
  <c r="A26" i="1"/>
  <c r="C26" i="1"/>
  <c r="D26" i="1"/>
  <c r="E26" i="1"/>
  <c r="A27" i="1"/>
  <c r="C27" i="1"/>
  <c r="D27" i="1"/>
  <c r="E27" i="1"/>
  <c r="A28" i="1"/>
  <c r="C28" i="1"/>
  <c r="D28" i="1"/>
  <c r="E28" i="1"/>
  <c r="A29" i="1"/>
  <c r="C29" i="1"/>
  <c r="D29" i="1"/>
  <c r="E29" i="1"/>
  <c r="A30" i="1"/>
  <c r="C30" i="1"/>
  <c r="D30" i="1"/>
  <c r="E30" i="1"/>
  <c r="A31" i="1"/>
  <c r="C31" i="1"/>
  <c r="D31" i="1"/>
  <c r="E31" i="1"/>
  <c r="A32" i="1"/>
  <c r="C32" i="1"/>
  <c r="D32" i="1"/>
  <c r="E32" i="1"/>
  <c r="A33" i="1"/>
  <c r="C33" i="1"/>
  <c r="D33" i="1"/>
  <c r="E33" i="1"/>
  <c r="A34" i="1"/>
  <c r="C34" i="1"/>
  <c r="D34" i="1"/>
  <c r="E34" i="1"/>
  <c r="A35" i="1"/>
  <c r="C35" i="1"/>
  <c r="D35" i="1"/>
  <c r="E35" i="1"/>
  <c r="A36" i="1"/>
  <c r="C36" i="1"/>
  <c r="D36" i="1"/>
  <c r="E36" i="1"/>
  <c r="A37" i="1"/>
  <c r="C37" i="1"/>
  <c r="D37" i="1"/>
  <c r="E37" i="1"/>
  <c r="A38" i="1"/>
  <c r="C38" i="1"/>
  <c r="D38" i="1"/>
  <c r="E38" i="1"/>
  <c r="A39" i="1"/>
  <c r="C39" i="1"/>
  <c r="D39" i="1"/>
  <c r="E39" i="1"/>
  <c r="A40" i="1"/>
  <c r="C40" i="1"/>
  <c r="D40" i="1"/>
  <c r="E40" i="1"/>
  <c r="A41" i="1"/>
  <c r="C41" i="1"/>
  <c r="D41" i="1"/>
  <c r="E41" i="1"/>
  <c r="A42" i="1"/>
  <c r="C42" i="1"/>
  <c r="D42" i="1"/>
  <c r="E42" i="1"/>
  <c r="A43" i="1"/>
  <c r="C43" i="1"/>
  <c r="D43" i="1"/>
  <c r="E43" i="1"/>
  <c r="A44" i="1"/>
  <c r="C44" i="1"/>
  <c r="D44" i="1"/>
  <c r="E44" i="1"/>
  <c r="A45" i="1"/>
  <c r="C45" i="1"/>
  <c r="D45" i="1"/>
  <c r="E45" i="1"/>
  <c r="A46" i="1"/>
  <c r="C46" i="1"/>
  <c r="D46" i="1"/>
  <c r="E46" i="1"/>
  <c r="A47" i="1"/>
  <c r="C47" i="1"/>
  <c r="D47" i="1"/>
  <c r="E47" i="1"/>
  <c r="A48" i="1"/>
  <c r="C48" i="1"/>
  <c r="D48" i="1"/>
  <c r="E48" i="1"/>
  <c r="A49" i="1"/>
  <c r="C49" i="1"/>
  <c r="D49" i="1"/>
  <c r="E49" i="1"/>
  <c r="A50" i="1"/>
  <c r="C50" i="1"/>
  <c r="D50" i="1"/>
  <c r="E50" i="1"/>
  <c r="A51" i="1"/>
  <c r="C51" i="1"/>
  <c r="D51" i="1"/>
  <c r="E51" i="1"/>
  <c r="A52" i="1"/>
  <c r="C52" i="1"/>
  <c r="D52" i="1"/>
  <c r="E52" i="1"/>
  <c r="A53" i="1"/>
  <c r="C53" i="1"/>
  <c r="D53" i="1"/>
  <c r="E53" i="1"/>
  <c r="A54" i="1"/>
  <c r="C54" i="1"/>
  <c r="D54" i="1"/>
  <c r="E54" i="1"/>
  <c r="A55" i="1"/>
  <c r="C55" i="1"/>
  <c r="D55" i="1"/>
  <c r="E55" i="1"/>
  <c r="A56" i="1"/>
  <c r="C56" i="1"/>
  <c r="D56" i="1"/>
  <c r="E56" i="1"/>
  <c r="A57" i="1"/>
  <c r="C57" i="1"/>
  <c r="D57" i="1"/>
  <c r="E57" i="1"/>
  <c r="A58" i="1"/>
  <c r="C58" i="1"/>
  <c r="D58" i="1"/>
  <c r="E58" i="1"/>
  <c r="A59" i="1"/>
  <c r="C59" i="1"/>
  <c r="D59" i="1"/>
  <c r="E59" i="1"/>
  <c r="A60" i="1"/>
  <c r="C60" i="1"/>
  <c r="D60" i="1"/>
  <c r="E60" i="1"/>
  <c r="A61" i="1"/>
  <c r="C61" i="1"/>
  <c r="D61" i="1"/>
  <c r="E61" i="1"/>
  <c r="A62" i="1"/>
  <c r="C62" i="1"/>
  <c r="D62" i="1"/>
  <c r="E62" i="1"/>
  <c r="A63" i="1"/>
  <c r="C63" i="1"/>
  <c r="D63" i="1"/>
  <c r="E63" i="1"/>
  <c r="A64" i="1"/>
  <c r="C64" i="1"/>
  <c r="D64" i="1"/>
  <c r="E64" i="1"/>
  <c r="A65" i="1"/>
  <c r="C65" i="1"/>
  <c r="D65" i="1"/>
  <c r="E65" i="1"/>
  <c r="A66" i="1"/>
  <c r="C66" i="1"/>
  <c r="D66" i="1"/>
  <c r="E66" i="1"/>
  <c r="A67" i="1"/>
  <c r="C67" i="1"/>
  <c r="D67" i="1"/>
  <c r="E67" i="1"/>
  <c r="A68" i="1"/>
  <c r="C68" i="1"/>
  <c r="D68" i="1"/>
  <c r="E68" i="1"/>
  <c r="A69" i="1"/>
  <c r="C69" i="1"/>
  <c r="D69" i="1"/>
  <c r="E69" i="1"/>
  <c r="A70" i="1"/>
  <c r="C70" i="1"/>
  <c r="D70" i="1"/>
  <c r="E70" i="1"/>
  <c r="A71" i="1"/>
  <c r="C71" i="1"/>
  <c r="D71" i="1"/>
  <c r="E71" i="1"/>
  <c r="A72" i="1"/>
  <c r="C72" i="1"/>
  <c r="D72" i="1"/>
  <c r="E72" i="1"/>
  <c r="A73" i="1"/>
  <c r="C73" i="1"/>
  <c r="D73" i="1"/>
  <c r="E73" i="1"/>
  <c r="A74" i="1"/>
  <c r="C74" i="1"/>
  <c r="D74" i="1"/>
  <c r="E74" i="1"/>
  <c r="A75" i="1"/>
  <c r="C75" i="1"/>
  <c r="D75" i="1"/>
  <c r="E75" i="1"/>
  <c r="A76" i="1"/>
  <c r="C76" i="1"/>
  <c r="D76" i="1"/>
  <c r="E76" i="1"/>
  <c r="A77" i="1"/>
  <c r="C77" i="1"/>
  <c r="D77" i="1"/>
  <c r="E77" i="1"/>
  <c r="A78" i="1"/>
  <c r="C78" i="1"/>
  <c r="D78" i="1"/>
  <c r="E78" i="1"/>
  <c r="A79" i="1"/>
  <c r="C79" i="1"/>
  <c r="D79" i="1"/>
  <c r="E79" i="1"/>
  <c r="A80" i="1"/>
  <c r="C80" i="1"/>
  <c r="D80" i="1"/>
  <c r="E80" i="1"/>
  <c r="A81" i="1"/>
  <c r="C81" i="1"/>
  <c r="D81" i="1"/>
  <c r="E81" i="1"/>
  <c r="A82" i="1"/>
  <c r="C82" i="1"/>
  <c r="D82" i="1"/>
  <c r="E82" i="1"/>
  <c r="A83" i="1"/>
  <c r="C83" i="1"/>
  <c r="D83" i="1"/>
  <c r="E83" i="1"/>
  <c r="A84" i="1"/>
  <c r="C84" i="1"/>
  <c r="D84" i="1"/>
  <c r="E84" i="1"/>
  <c r="A85" i="1"/>
  <c r="C85" i="1"/>
  <c r="D85" i="1"/>
  <c r="E85" i="1"/>
  <c r="A86" i="1"/>
  <c r="C86" i="1"/>
  <c r="D86" i="1"/>
  <c r="E86" i="1"/>
  <c r="A87" i="1"/>
  <c r="C87" i="1"/>
  <c r="D87" i="1"/>
  <c r="E87" i="1"/>
  <c r="A88" i="1"/>
  <c r="C88" i="1"/>
  <c r="D88" i="1"/>
  <c r="E88" i="1"/>
  <c r="A89" i="1"/>
  <c r="C89" i="1"/>
  <c r="D89" i="1"/>
  <c r="E89" i="1"/>
  <c r="A90" i="1"/>
  <c r="C90" i="1"/>
  <c r="D90" i="1"/>
  <c r="E90" i="1"/>
  <c r="A91" i="1"/>
  <c r="C91" i="1"/>
  <c r="D91" i="1"/>
  <c r="E91" i="1"/>
  <c r="A92" i="1"/>
  <c r="C92" i="1"/>
  <c r="D92" i="1"/>
  <c r="E92" i="1"/>
  <c r="A93" i="1"/>
  <c r="C93" i="1"/>
  <c r="D93" i="1"/>
  <c r="E93" i="1"/>
  <c r="A94" i="1"/>
  <c r="C94" i="1"/>
  <c r="D94" i="1"/>
  <c r="E94" i="1"/>
  <c r="A95" i="1"/>
  <c r="C95" i="1"/>
  <c r="D95" i="1"/>
  <c r="E95" i="1"/>
  <c r="A96" i="1"/>
  <c r="C96" i="1"/>
  <c r="D96" i="1"/>
  <c r="E96" i="1"/>
  <c r="A97" i="1"/>
  <c r="C97" i="1"/>
  <c r="D97" i="1"/>
  <c r="E97" i="1"/>
  <c r="A98" i="1"/>
  <c r="C98" i="1"/>
  <c r="D98" i="1"/>
  <c r="E98" i="1"/>
  <c r="A99" i="1"/>
  <c r="C99" i="1"/>
  <c r="D99" i="1"/>
  <c r="E99" i="1"/>
  <c r="A100" i="1"/>
  <c r="C100" i="1"/>
  <c r="D100" i="1"/>
  <c r="E100" i="1"/>
  <c r="A101" i="1"/>
  <c r="C101" i="1"/>
  <c r="D101" i="1"/>
  <c r="E101" i="1"/>
  <c r="A102" i="1"/>
  <c r="C102" i="1"/>
  <c r="D102" i="1"/>
  <c r="E102" i="1"/>
  <c r="A103" i="1"/>
  <c r="C103" i="1"/>
  <c r="D103" i="1"/>
  <c r="E103" i="1"/>
  <c r="A104" i="1"/>
  <c r="C104" i="1"/>
  <c r="D104" i="1"/>
  <c r="E104" i="1"/>
  <c r="A105" i="1"/>
  <c r="C105" i="1"/>
  <c r="D105" i="1"/>
  <c r="E105" i="1"/>
  <c r="A106" i="1"/>
  <c r="C106" i="1"/>
  <c r="D106" i="1"/>
  <c r="E106" i="1"/>
  <c r="A107" i="1"/>
  <c r="C107" i="1"/>
  <c r="D107" i="1"/>
  <c r="E107" i="1"/>
  <c r="A108" i="1"/>
  <c r="C108" i="1"/>
  <c r="D108" i="1"/>
  <c r="E108" i="1"/>
  <c r="A109" i="1"/>
  <c r="C109" i="1"/>
  <c r="D109" i="1"/>
  <c r="E109" i="1"/>
  <c r="A110" i="1"/>
  <c r="C110" i="1"/>
  <c r="D110" i="1"/>
  <c r="E110" i="1"/>
  <c r="A111" i="1"/>
  <c r="C111" i="1"/>
  <c r="D111" i="1"/>
  <c r="E111" i="1"/>
  <c r="A112" i="1"/>
  <c r="C112" i="1"/>
  <c r="D112" i="1"/>
  <c r="E112" i="1"/>
  <c r="A113" i="1"/>
  <c r="C113" i="1"/>
  <c r="D113" i="1"/>
  <c r="E113" i="1"/>
  <c r="A114" i="1"/>
  <c r="C114" i="1"/>
  <c r="D114" i="1"/>
  <c r="E114" i="1"/>
  <c r="A115" i="1"/>
  <c r="C115" i="1"/>
  <c r="D115" i="1"/>
  <c r="E115" i="1"/>
  <c r="A116" i="1"/>
  <c r="C116" i="1"/>
  <c r="D116" i="1"/>
  <c r="E116" i="1"/>
  <c r="A117" i="1"/>
  <c r="C117" i="1"/>
  <c r="D117" i="1"/>
  <c r="E117" i="1"/>
  <c r="A118" i="1"/>
  <c r="C118" i="1"/>
  <c r="D118" i="1"/>
  <c r="E118" i="1"/>
  <c r="A119" i="1"/>
  <c r="C119" i="1"/>
  <c r="D119" i="1"/>
  <c r="E119" i="1"/>
  <c r="A120" i="1"/>
  <c r="C120" i="1"/>
  <c r="D120" i="1"/>
  <c r="E120" i="1"/>
  <c r="A121" i="1"/>
  <c r="C121" i="1"/>
  <c r="D121" i="1"/>
  <c r="E121" i="1"/>
  <c r="A122" i="1"/>
  <c r="C122" i="1"/>
  <c r="D122" i="1"/>
  <c r="E122" i="1"/>
  <c r="A123" i="1"/>
  <c r="C123" i="1"/>
  <c r="D123" i="1"/>
  <c r="E123" i="1"/>
  <c r="A124" i="1"/>
  <c r="C124" i="1"/>
  <c r="D124" i="1"/>
  <c r="E124" i="1"/>
  <c r="A125" i="1"/>
  <c r="C125" i="1"/>
  <c r="D125" i="1"/>
  <c r="E125" i="1"/>
  <c r="A126" i="1"/>
  <c r="C126" i="1"/>
  <c r="D126" i="1"/>
  <c r="E126" i="1"/>
  <c r="A127" i="1"/>
  <c r="C127" i="1"/>
  <c r="D127" i="1"/>
  <c r="E127" i="1"/>
  <c r="A128" i="1"/>
  <c r="C128" i="1"/>
  <c r="D128" i="1"/>
  <c r="E128" i="1"/>
  <c r="A129" i="1"/>
  <c r="C129" i="1"/>
  <c r="D129" i="1"/>
  <c r="E129" i="1"/>
  <c r="A130" i="1"/>
  <c r="C130" i="1"/>
  <c r="D130" i="1"/>
  <c r="E130" i="1"/>
  <c r="A131" i="1"/>
  <c r="C131" i="1"/>
  <c r="D131" i="1"/>
  <c r="E131" i="1"/>
  <c r="A132" i="1"/>
  <c r="C132" i="1"/>
  <c r="D132" i="1"/>
  <c r="E132" i="1"/>
  <c r="A133" i="1"/>
  <c r="C133" i="1"/>
  <c r="D133" i="1"/>
  <c r="E133" i="1"/>
  <c r="A134" i="1"/>
  <c r="C134" i="1"/>
  <c r="D134" i="1"/>
  <c r="E134" i="1"/>
  <c r="A135" i="1"/>
  <c r="C135" i="1"/>
  <c r="D135" i="1"/>
  <c r="E135" i="1"/>
  <c r="A136" i="1"/>
  <c r="C136" i="1"/>
  <c r="D136" i="1"/>
  <c r="E136" i="1"/>
  <c r="A137" i="1"/>
  <c r="C137" i="1"/>
  <c r="D137" i="1"/>
  <c r="E137" i="1"/>
  <c r="A138" i="1"/>
  <c r="C138" i="1"/>
  <c r="D138" i="1"/>
  <c r="E138" i="1"/>
  <c r="A139" i="1"/>
  <c r="C139" i="1"/>
  <c r="D139" i="1"/>
  <c r="E139" i="1"/>
  <c r="A140" i="1"/>
  <c r="C140" i="1"/>
  <c r="D140" i="1"/>
  <c r="E140" i="1"/>
  <c r="A141" i="1"/>
  <c r="C141" i="1"/>
  <c r="D141" i="1"/>
  <c r="E141" i="1"/>
  <c r="A142" i="1"/>
  <c r="C142" i="1"/>
  <c r="D142" i="1"/>
  <c r="E142" i="1"/>
  <c r="A143" i="1"/>
  <c r="C143" i="1"/>
  <c r="D143" i="1"/>
  <c r="E143" i="1"/>
  <c r="A144" i="1"/>
  <c r="C144" i="1"/>
  <c r="D144" i="1"/>
  <c r="E144" i="1"/>
  <c r="A145" i="1"/>
  <c r="C145" i="1"/>
  <c r="D145" i="1"/>
  <c r="E145" i="1"/>
  <c r="A146" i="1"/>
  <c r="C146" i="1"/>
  <c r="D146" i="1"/>
  <c r="E146" i="1"/>
  <c r="A147" i="1"/>
  <c r="C147" i="1"/>
  <c r="D147" i="1"/>
  <c r="E147" i="1"/>
  <c r="A148" i="1"/>
  <c r="C148" i="1"/>
  <c r="D148" i="1"/>
  <c r="E148" i="1"/>
  <c r="A149" i="1"/>
  <c r="C149" i="1"/>
  <c r="D149" i="1"/>
  <c r="E149" i="1"/>
  <c r="A150" i="1"/>
  <c r="C150" i="1"/>
  <c r="D150" i="1"/>
  <c r="E150" i="1"/>
  <c r="A151" i="1"/>
  <c r="C151" i="1"/>
  <c r="D151" i="1"/>
  <c r="E151" i="1"/>
  <c r="A152" i="1"/>
  <c r="C152" i="1"/>
  <c r="D152" i="1"/>
  <c r="E152" i="1"/>
  <c r="A153" i="1"/>
  <c r="C153" i="1"/>
  <c r="D153" i="1"/>
  <c r="E153" i="1"/>
  <c r="A154" i="1"/>
  <c r="C154" i="1"/>
  <c r="D154" i="1"/>
  <c r="E154" i="1"/>
  <c r="A155" i="1"/>
  <c r="C155" i="1"/>
  <c r="D155" i="1"/>
  <c r="E155" i="1"/>
  <c r="A156" i="1"/>
  <c r="C156" i="1"/>
  <c r="D156" i="1"/>
  <c r="E156" i="1"/>
  <c r="A157" i="1"/>
  <c r="C157" i="1"/>
  <c r="D157" i="1"/>
  <c r="E157" i="1"/>
  <c r="A158" i="1"/>
  <c r="C158" i="1"/>
  <c r="D158" i="1"/>
  <c r="E158" i="1"/>
  <c r="A159" i="1"/>
  <c r="C159" i="1"/>
  <c r="D159" i="1"/>
  <c r="E159" i="1"/>
  <c r="A160" i="1"/>
  <c r="C160" i="1"/>
  <c r="D160" i="1"/>
  <c r="E160" i="1"/>
  <c r="A161" i="1"/>
  <c r="C161" i="1"/>
  <c r="D161" i="1"/>
  <c r="E161" i="1"/>
  <c r="A162" i="1"/>
  <c r="C162" i="1"/>
  <c r="D162" i="1"/>
  <c r="E162" i="1"/>
  <c r="A163" i="1"/>
  <c r="C163" i="1"/>
  <c r="D163" i="1"/>
  <c r="E163" i="1"/>
  <c r="A164" i="1"/>
  <c r="C164" i="1"/>
  <c r="D164" i="1"/>
  <c r="E164" i="1"/>
  <c r="A165" i="1"/>
  <c r="C165" i="1"/>
  <c r="D165" i="1"/>
  <c r="E165" i="1"/>
  <c r="A166" i="1"/>
  <c r="C166" i="1"/>
  <c r="D166" i="1"/>
  <c r="E166" i="1"/>
  <c r="A167" i="1"/>
  <c r="C167" i="1"/>
  <c r="D167" i="1"/>
  <c r="E167" i="1"/>
  <c r="A168" i="1"/>
  <c r="C168" i="1"/>
  <c r="D168" i="1"/>
  <c r="E168" i="1"/>
  <c r="A169" i="1"/>
  <c r="C169" i="1"/>
  <c r="D169" i="1"/>
  <c r="E169" i="1"/>
  <c r="A170" i="1"/>
  <c r="C170" i="1"/>
  <c r="D170" i="1"/>
  <c r="E170" i="1"/>
  <c r="A171" i="1"/>
  <c r="C171" i="1"/>
  <c r="D171" i="1"/>
  <c r="E171" i="1"/>
  <c r="A172" i="1"/>
  <c r="C172" i="1"/>
  <c r="D172" i="1"/>
  <c r="E172" i="1"/>
  <c r="A173" i="1"/>
  <c r="C173" i="1"/>
  <c r="D173" i="1"/>
  <c r="E173" i="1"/>
  <c r="A174" i="1"/>
  <c r="C174" i="1"/>
  <c r="D174" i="1"/>
  <c r="E174" i="1"/>
  <c r="A175" i="1"/>
  <c r="C175" i="1"/>
  <c r="D175" i="1"/>
  <c r="E175" i="1"/>
  <c r="A176" i="1"/>
  <c r="C176" i="1"/>
  <c r="D176" i="1"/>
  <c r="E176" i="1"/>
  <c r="A177" i="1"/>
  <c r="C177" i="1"/>
  <c r="D177" i="1"/>
  <c r="E177" i="1"/>
  <c r="A178" i="1"/>
  <c r="C178" i="1"/>
  <c r="D178" i="1"/>
  <c r="E178" i="1"/>
  <c r="A179" i="1"/>
  <c r="C179" i="1"/>
  <c r="D179" i="1"/>
  <c r="E179" i="1"/>
  <c r="A180" i="1"/>
  <c r="C180" i="1"/>
  <c r="D180" i="1"/>
  <c r="E180" i="1"/>
  <c r="A181" i="1"/>
  <c r="C181" i="1"/>
  <c r="D181" i="1"/>
  <c r="E181" i="1"/>
  <c r="A182" i="1"/>
  <c r="C182" i="1"/>
  <c r="D182" i="1"/>
  <c r="E182" i="1"/>
  <c r="A183" i="1"/>
  <c r="C183" i="1"/>
  <c r="D183" i="1"/>
  <c r="E183" i="1"/>
  <c r="A184" i="1"/>
  <c r="C184" i="1"/>
  <c r="D184" i="1"/>
  <c r="E184" i="1"/>
  <c r="A185" i="1"/>
  <c r="C185" i="1"/>
  <c r="D185" i="1"/>
  <c r="E185" i="1"/>
  <c r="A186" i="1"/>
  <c r="C186" i="1"/>
  <c r="D186" i="1"/>
  <c r="E186" i="1"/>
  <c r="A187" i="1"/>
  <c r="C187" i="1"/>
  <c r="D187" i="1"/>
  <c r="E187" i="1"/>
  <c r="A188" i="1"/>
  <c r="C188" i="1"/>
  <c r="D188" i="1"/>
  <c r="E188" i="1"/>
  <c r="A189" i="1"/>
  <c r="C189" i="1"/>
  <c r="D189" i="1"/>
  <c r="E189" i="1"/>
  <c r="A190" i="1"/>
  <c r="C190" i="1"/>
  <c r="D190" i="1"/>
  <c r="E190" i="1"/>
  <c r="A191" i="1"/>
  <c r="C191" i="1"/>
  <c r="D191" i="1"/>
  <c r="E191" i="1"/>
  <c r="A192" i="1"/>
  <c r="C192" i="1"/>
  <c r="D192" i="1"/>
  <c r="E192" i="1"/>
  <c r="A193" i="1"/>
  <c r="C193" i="1"/>
  <c r="D193" i="1"/>
  <c r="E193" i="1"/>
  <c r="A194" i="1"/>
  <c r="C194" i="1"/>
  <c r="D194" i="1"/>
  <c r="E194" i="1"/>
  <c r="A195" i="1"/>
  <c r="C195" i="1"/>
  <c r="D195" i="1"/>
  <c r="E195" i="1"/>
  <c r="A196" i="1"/>
  <c r="C196" i="1"/>
  <c r="D196" i="1"/>
  <c r="E196" i="1"/>
  <c r="A197" i="1"/>
  <c r="C197" i="1"/>
  <c r="D197" i="1"/>
  <c r="E197" i="1"/>
  <c r="A198" i="1"/>
  <c r="C198" i="1"/>
  <c r="D198" i="1"/>
  <c r="E198" i="1"/>
  <c r="A199" i="1"/>
  <c r="C199" i="1"/>
  <c r="D199" i="1"/>
  <c r="E199" i="1"/>
  <c r="A200" i="1"/>
  <c r="C200" i="1"/>
  <c r="D200" i="1"/>
  <c r="E200" i="1"/>
  <c r="A201" i="1"/>
  <c r="C201" i="1"/>
  <c r="D201" i="1"/>
  <c r="E201" i="1"/>
  <c r="A202" i="1"/>
  <c r="C202" i="1"/>
  <c r="D202" i="1"/>
  <c r="E202" i="1"/>
  <c r="A203" i="1"/>
  <c r="C203" i="1"/>
  <c r="D203" i="1"/>
  <c r="E203" i="1"/>
  <c r="A204" i="1"/>
  <c r="C204" i="1"/>
  <c r="D204" i="1"/>
  <c r="E204" i="1"/>
  <c r="A205" i="1"/>
  <c r="C205" i="1"/>
  <c r="D205" i="1"/>
  <c r="E205" i="1"/>
  <c r="A206" i="1"/>
  <c r="C206" i="1"/>
  <c r="D206" i="1"/>
  <c r="E206" i="1"/>
  <c r="A207" i="1"/>
  <c r="C207" i="1"/>
  <c r="D207" i="1"/>
  <c r="E207" i="1"/>
  <c r="A208" i="1"/>
  <c r="C208" i="1"/>
  <c r="D208" i="1"/>
  <c r="E208" i="1"/>
  <c r="A209" i="1"/>
  <c r="C209" i="1"/>
  <c r="D209" i="1"/>
  <c r="E209" i="1"/>
  <c r="A210" i="1"/>
  <c r="C210" i="1"/>
  <c r="D210" i="1"/>
  <c r="E210" i="1"/>
  <c r="A211" i="1"/>
  <c r="C211" i="1"/>
  <c r="D211" i="1"/>
  <c r="E211" i="1"/>
  <c r="A212" i="1"/>
  <c r="C212" i="1"/>
  <c r="D212" i="1"/>
  <c r="E212" i="1"/>
  <c r="A213" i="1"/>
  <c r="C213" i="1"/>
  <c r="D213" i="1"/>
  <c r="E213" i="1"/>
  <c r="A214" i="1"/>
  <c r="C214" i="1"/>
  <c r="D214" i="1"/>
  <c r="E214" i="1"/>
  <c r="A215" i="1"/>
  <c r="C215" i="1"/>
  <c r="D215" i="1"/>
  <c r="E215" i="1"/>
  <c r="A216" i="1"/>
  <c r="C216" i="1"/>
  <c r="D216" i="1"/>
  <c r="E216" i="1"/>
  <c r="A217" i="1"/>
  <c r="C217" i="1"/>
  <c r="D217" i="1"/>
  <c r="E217" i="1"/>
  <c r="A218" i="1"/>
  <c r="C218" i="1"/>
  <c r="D218" i="1"/>
  <c r="E218" i="1"/>
  <c r="A219" i="1"/>
  <c r="C219" i="1"/>
  <c r="D219" i="1"/>
  <c r="E219" i="1"/>
  <c r="A220" i="1"/>
  <c r="C220" i="1"/>
  <c r="D220" i="1"/>
  <c r="E220" i="1"/>
  <c r="A221" i="1"/>
  <c r="C221" i="1"/>
  <c r="D221" i="1"/>
  <c r="E221" i="1"/>
  <c r="A222" i="1"/>
  <c r="C222" i="1"/>
  <c r="D222" i="1"/>
  <c r="E222" i="1"/>
  <c r="A223" i="1"/>
  <c r="C223" i="1"/>
  <c r="D223" i="1"/>
  <c r="E223" i="1"/>
  <c r="A224" i="1"/>
  <c r="C224" i="1"/>
  <c r="D224" i="1"/>
  <c r="E224" i="1"/>
  <c r="A225" i="1"/>
  <c r="C225" i="1"/>
  <c r="D225" i="1"/>
  <c r="E225" i="1"/>
  <c r="A226" i="1"/>
  <c r="C226" i="1"/>
  <c r="D226" i="1"/>
  <c r="E226" i="1"/>
  <c r="A227" i="1"/>
  <c r="C227" i="1"/>
  <c r="D227" i="1"/>
  <c r="E227" i="1"/>
  <c r="A228" i="1"/>
  <c r="C228" i="1"/>
  <c r="D228" i="1"/>
  <c r="E228" i="1"/>
  <c r="A229" i="1"/>
  <c r="C229" i="1"/>
  <c r="D229" i="1"/>
  <c r="E229" i="1"/>
  <c r="A230" i="1"/>
  <c r="C230" i="1"/>
  <c r="D230" i="1"/>
  <c r="E230" i="1"/>
  <c r="A231" i="1"/>
  <c r="C231" i="1"/>
  <c r="D231" i="1"/>
  <c r="E231" i="1"/>
  <c r="A232" i="1"/>
  <c r="C232" i="1"/>
  <c r="D232" i="1"/>
  <c r="E232" i="1"/>
  <c r="A233" i="1"/>
  <c r="C233" i="1"/>
  <c r="D233" i="1"/>
  <c r="E233" i="1"/>
  <c r="A234" i="1"/>
  <c r="C234" i="1"/>
  <c r="D234" i="1"/>
  <c r="E234" i="1"/>
  <c r="A235" i="1"/>
  <c r="C235" i="1"/>
  <c r="D235" i="1"/>
  <c r="E235" i="1"/>
  <c r="A236" i="1"/>
  <c r="C236" i="1"/>
  <c r="D236" i="1"/>
  <c r="E236" i="1"/>
  <c r="A237" i="1"/>
  <c r="C237" i="1"/>
  <c r="D237" i="1"/>
  <c r="E237" i="1"/>
  <c r="A238" i="1"/>
  <c r="C238" i="1"/>
  <c r="D238" i="1"/>
  <c r="E238" i="1"/>
  <c r="A239" i="1"/>
  <c r="C239" i="1"/>
  <c r="D239" i="1"/>
  <c r="E239" i="1"/>
  <c r="A240" i="1"/>
  <c r="C240" i="1"/>
  <c r="D240" i="1"/>
  <c r="E240" i="1"/>
  <c r="A241" i="1"/>
  <c r="C241" i="1"/>
  <c r="D241" i="1"/>
  <c r="E241" i="1"/>
  <c r="A242" i="1"/>
  <c r="C242" i="1"/>
  <c r="D242" i="1"/>
  <c r="E242" i="1"/>
  <c r="A243" i="1"/>
  <c r="C243" i="1"/>
  <c r="D243" i="1"/>
  <c r="E243" i="1"/>
  <c r="A244" i="1"/>
  <c r="C244" i="1"/>
  <c r="D244" i="1"/>
  <c r="E244" i="1"/>
  <c r="A245" i="1"/>
  <c r="C245" i="1"/>
  <c r="D245" i="1"/>
  <c r="E245" i="1"/>
  <c r="A246" i="1"/>
  <c r="C246" i="1"/>
  <c r="D246" i="1"/>
  <c r="E246" i="1"/>
  <c r="A247" i="1"/>
  <c r="C247" i="1"/>
  <c r="D247" i="1"/>
  <c r="E247" i="1"/>
  <c r="A248" i="1"/>
  <c r="C248" i="1"/>
  <c r="D248" i="1"/>
  <c r="E248" i="1"/>
  <c r="A249" i="1"/>
  <c r="C249" i="1"/>
  <c r="D249" i="1"/>
  <c r="E249" i="1"/>
  <c r="A250" i="1"/>
  <c r="C250" i="1"/>
  <c r="D250" i="1"/>
  <c r="E250" i="1"/>
  <c r="A251" i="1"/>
  <c r="C251" i="1"/>
  <c r="D251" i="1"/>
  <c r="E251" i="1"/>
  <c r="A252" i="1"/>
  <c r="C252" i="1"/>
  <c r="D252" i="1"/>
  <c r="E252" i="1"/>
  <c r="A253" i="1"/>
  <c r="C253" i="1"/>
  <c r="D253" i="1"/>
  <c r="E253" i="1"/>
  <c r="A254" i="1"/>
  <c r="C254" i="1"/>
  <c r="D254" i="1"/>
  <c r="E254" i="1"/>
  <c r="A255" i="1"/>
  <c r="C255" i="1"/>
  <c r="D255" i="1"/>
  <c r="E255" i="1"/>
  <c r="A256" i="1"/>
  <c r="C256" i="1"/>
  <c r="D256" i="1"/>
  <c r="E256" i="1"/>
  <c r="A257" i="1"/>
  <c r="C257" i="1"/>
  <c r="D257" i="1"/>
  <c r="E257" i="1"/>
  <c r="A258" i="1"/>
  <c r="C258" i="1"/>
  <c r="D258" i="1"/>
  <c r="E258" i="1"/>
  <c r="A259" i="1"/>
  <c r="C259" i="1"/>
  <c r="D259" i="1"/>
  <c r="E259" i="1"/>
  <c r="A260" i="1"/>
  <c r="C260" i="1"/>
  <c r="D260" i="1"/>
  <c r="E260" i="1"/>
  <c r="A261" i="1"/>
  <c r="C261" i="1"/>
  <c r="D261" i="1"/>
  <c r="E261" i="1"/>
  <c r="A262" i="1"/>
  <c r="C262" i="1"/>
  <c r="D262" i="1"/>
  <c r="E262" i="1"/>
  <c r="A263" i="1"/>
  <c r="C263" i="1"/>
  <c r="D263" i="1"/>
  <c r="E263" i="1"/>
  <c r="A264" i="1"/>
  <c r="C264" i="1"/>
  <c r="D264" i="1"/>
  <c r="E264" i="1"/>
  <c r="A265" i="1"/>
  <c r="C265" i="1"/>
  <c r="D265" i="1"/>
  <c r="E265" i="1"/>
  <c r="A266" i="1"/>
  <c r="C266" i="1"/>
  <c r="D266" i="1"/>
  <c r="E266" i="1"/>
  <c r="A267" i="1"/>
  <c r="C267" i="1"/>
  <c r="D267" i="1"/>
  <c r="E267" i="1"/>
  <c r="A268" i="1"/>
  <c r="C268" i="1"/>
  <c r="D268" i="1"/>
  <c r="E268" i="1"/>
  <c r="A269" i="1"/>
  <c r="C269" i="1"/>
  <c r="D269" i="1"/>
  <c r="E269" i="1"/>
  <c r="A270" i="1"/>
  <c r="C270" i="1"/>
  <c r="D270" i="1"/>
  <c r="E270" i="1"/>
  <c r="A271" i="1"/>
  <c r="C271" i="1"/>
  <c r="D271" i="1"/>
  <c r="E271" i="1"/>
  <c r="A272" i="1"/>
  <c r="C272" i="1"/>
  <c r="D272" i="1"/>
  <c r="E272" i="1"/>
  <c r="A273" i="1"/>
  <c r="C273" i="1"/>
  <c r="D273" i="1"/>
  <c r="E273" i="1"/>
  <c r="A274" i="1"/>
  <c r="C274" i="1"/>
  <c r="D274" i="1"/>
  <c r="E274" i="1"/>
  <c r="A275" i="1"/>
  <c r="C275" i="1"/>
  <c r="D275" i="1"/>
  <c r="E275" i="1"/>
  <c r="A276" i="1"/>
  <c r="C276" i="1"/>
  <c r="D276" i="1"/>
  <c r="E276" i="1"/>
  <c r="A277" i="1"/>
  <c r="C277" i="1"/>
  <c r="D277" i="1"/>
  <c r="E277" i="1"/>
  <c r="A278" i="1"/>
  <c r="C278" i="1"/>
  <c r="D278" i="1"/>
  <c r="E278" i="1"/>
  <c r="A279" i="1"/>
  <c r="C279" i="1"/>
  <c r="D279" i="1"/>
  <c r="E279" i="1"/>
  <c r="A280" i="1"/>
  <c r="C280" i="1"/>
  <c r="D280" i="1"/>
  <c r="E280" i="1"/>
  <c r="A281" i="1"/>
  <c r="C281" i="1"/>
  <c r="D281" i="1"/>
  <c r="E281" i="1"/>
  <c r="A282" i="1"/>
  <c r="C282" i="1"/>
  <c r="D282" i="1"/>
  <c r="E282" i="1"/>
  <c r="A283" i="1"/>
  <c r="C283" i="1"/>
  <c r="D283" i="1"/>
  <c r="E283" i="1"/>
  <c r="A284" i="1"/>
  <c r="C284" i="1"/>
  <c r="D284" i="1"/>
  <c r="E284" i="1"/>
  <c r="A285" i="1"/>
  <c r="C285" i="1"/>
  <c r="D285" i="1"/>
  <c r="E285" i="1"/>
  <c r="A286" i="1"/>
  <c r="C286" i="1"/>
  <c r="D286" i="1"/>
  <c r="E286" i="1"/>
  <c r="A287" i="1"/>
  <c r="C287" i="1"/>
  <c r="D287" i="1"/>
  <c r="E287" i="1"/>
  <c r="A288" i="1"/>
  <c r="C288" i="1"/>
  <c r="D288" i="1"/>
  <c r="E288" i="1"/>
  <c r="A289" i="1"/>
  <c r="C289" i="1"/>
  <c r="D289" i="1"/>
  <c r="E289" i="1"/>
  <c r="A290" i="1"/>
  <c r="C290" i="1"/>
  <c r="D290" i="1"/>
  <c r="E290" i="1"/>
  <c r="A291" i="1"/>
  <c r="C291" i="1"/>
  <c r="D291" i="1"/>
  <c r="E291" i="1"/>
  <c r="A292" i="1"/>
  <c r="C292" i="1"/>
  <c r="D292" i="1"/>
  <c r="E292" i="1"/>
  <c r="A293" i="1"/>
  <c r="C293" i="1"/>
  <c r="D293" i="1"/>
  <c r="E293" i="1"/>
  <c r="A294" i="1"/>
  <c r="C294" i="1"/>
  <c r="D294" i="1"/>
  <c r="E294" i="1"/>
  <c r="A295" i="1"/>
  <c r="C295" i="1"/>
  <c r="D295" i="1"/>
  <c r="E295" i="1"/>
  <c r="A296" i="1"/>
  <c r="C296" i="1"/>
  <c r="D296" i="1"/>
  <c r="E296" i="1"/>
  <c r="A297" i="1"/>
  <c r="C297" i="1"/>
  <c r="D297" i="1"/>
  <c r="E297" i="1"/>
  <c r="A298" i="1"/>
  <c r="C298" i="1"/>
  <c r="D298" i="1"/>
  <c r="E298" i="1"/>
  <c r="A299" i="1"/>
  <c r="C299" i="1"/>
  <c r="D299" i="1"/>
  <c r="E29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CC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176" fontId="0" fillId="9" borderId="11" xfId="0" applyNumberForma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21" fontId="19" fillId="0" borderId="0" xfId="0" applyNumberFormat="1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21" fontId="18" fillId="0" borderId="0" xfId="0" applyNumberFormat="1" applyFont="1" applyFill="1" applyAlignment="1">
      <alignment horizontal="center" vertical="center"/>
    </xf>
    <xf numFmtId="176" fontId="18" fillId="0" borderId="0" xfId="0" applyNumberFormat="1" applyFont="1" applyFill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zoomScale="80" zoomScaleNormal="80" workbookViewId="0">
      <pane ySplit="1" topLeftCell="A2" activePane="bottomLeft" state="frozen"/>
      <selection pane="bottomLeft" activeCell="F27" sqref="F27"/>
    </sheetView>
  </sheetViews>
  <sheetFormatPr defaultRowHeight="13.5" x14ac:dyDescent="0.15"/>
  <cols>
    <col min="1" max="1" width="9" style="1"/>
    <col min="2" max="2" width="9.5" style="1" bestFit="1" customWidth="1"/>
    <col min="3" max="5" width="9" style="1"/>
    <col min="6" max="6" width="9.5" style="2" bestFit="1" customWidth="1"/>
    <col min="7" max="16384" width="9" style="1"/>
  </cols>
  <sheetData>
    <row r="1" spans="1:8" x14ac:dyDescent="0.15">
      <c r="A1" s="3" t="str">
        <f>"成交日期"</f>
        <v>成交日期</v>
      </c>
      <c r="B1" s="4" t="str">
        <f>"成交时间"</f>
        <v>成交时间</v>
      </c>
      <c r="C1" s="4" t="str">
        <f>"证券代码"</f>
        <v>证券代码</v>
      </c>
      <c r="D1" s="4" t="str">
        <f>"证券名称"</f>
        <v>证券名称</v>
      </c>
      <c r="E1" s="4" t="str">
        <f>"买卖标志"</f>
        <v>买卖标志</v>
      </c>
      <c r="F1" s="5" t="str">
        <f>"成交价格"</f>
        <v>成交价格</v>
      </c>
      <c r="G1" s="3" t="str">
        <f>"成交数量"</f>
        <v>成交数量</v>
      </c>
      <c r="H1" s="3" t="str">
        <f>"成交金额"</f>
        <v>成交金额</v>
      </c>
    </row>
    <row r="2" spans="1:8" s="9" customFormat="1" x14ac:dyDescent="0.15">
      <c r="A2" s="6" t="str">
        <f>"20160401"</f>
        <v>20160401</v>
      </c>
      <c r="B2" s="7">
        <v>0.45885416666666662</v>
      </c>
      <c r="C2" s="6" t="str">
        <f>"300222"</f>
        <v>300222</v>
      </c>
      <c r="D2" s="6" t="str">
        <f>"科大智能"</f>
        <v>科大智能</v>
      </c>
      <c r="E2" s="6" t="str">
        <f>"卖出"</f>
        <v>卖出</v>
      </c>
      <c r="F2" s="8">
        <v>27.5</v>
      </c>
      <c r="G2" s="6">
        <v>-17754</v>
      </c>
      <c r="H2" s="6">
        <v>488235</v>
      </c>
    </row>
    <row r="3" spans="1:8" s="9" customFormat="1" x14ac:dyDescent="0.15">
      <c r="A3" s="10" t="str">
        <f>"20160401"</f>
        <v>20160401</v>
      </c>
      <c r="B3" s="11">
        <v>0.60549768518518521</v>
      </c>
      <c r="C3" s="10" t="str">
        <f>"002114"</f>
        <v>002114</v>
      </c>
      <c r="D3" s="10" t="str">
        <f>"罗平锌电"</f>
        <v>罗平锌电</v>
      </c>
      <c r="E3" s="10" t="str">
        <f>"买入"</f>
        <v>买入</v>
      </c>
      <c r="F3" s="12">
        <v>26.821999999999999</v>
      </c>
      <c r="G3" s="10">
        <v>644</v>
      </c>
      <c r="H3" s="10">
        <v>17273.599999999999</v>
      </c>
    </row>
    <row r="4" spans="1:8" s="9" customFormat="1" x14ac:dyDescent="0.15">
      <c r="A4" s="10" t="str">
        <f>"20160401"</f>
        <v>20160401</v>
      </c>
      <c r="B4" s="11">
        <v>0.60562499999999997</v>
      </c>
      <c r="C4" s="10" t="str">
        <f>"002114"</f>
        <v>002114</v>
      </c>
      <c r="D4" s="10" t="str">
        <f>"罗平锌电"</f>
        <v>罗平锌电</v>
      </c>
      <c r="E4" s="10" t="str">
        <f>"买入"</f>
        <v>买入</v>
      </c>
      <c r="F4" s="12">
        <v>27.087</v>
      </c>
      <c r="G4" s="10">
        <v>17500</v>
      </c>
      <c r="H4" s="10">
        <v>474031</v>
      </c>
    </row>
    <row r="5" spans="1:8" s="9" customFormat="1" x14ac:dyDescent="0.15">
      <c r="A5" s="6" t="str">
        <f>"20160405"</f>
        <v>20160405</v>
      </c>
      <c r="B5" s="7">
        <v>0.57466435185185183</v>
      </c>
      <c r="C5" s="6" t="str">
        <f>"002114"</f>
        <v>002114</v>
      </c>
      <c r="D5" s="6" t="str">
        <f>"罗平锌电"</f>
        <v>罗平锌电</v>
      </c>
      <c r="E5" s="6" t="str">
        <f>"卖出"</f>
        <v>卖出</v>
      </c>
      <c r="F5" s="8">
        <v>26.506</v>
      </c>
      <c r="G5" s="6">
        <v>-18144</v>
      </c>
      <c r="H5" s="6">
        <v>480926.84</v>
      </c>
    </row>
    <row r="6" spans="1:8" s="9" customFormat="1" x14ac:dyDescent="0.15">
      <c r="A6" s="10" t="str">
        <f>"20160405"</f>
        <v>20160405</v>
      </c>
      <c r="B6" s="11">
        <v>0.59053240740740742</v>
      </c>
      <c r="C6" s="10" t="str">
        <f>"300321"</f>
        <v>300321</v>
      </c>
      <c r="D6" s="10" t="str">
        <f>"同大股份"</f>
        <v>同大股份</v>
      </c>
      <c r="E6" s="10" t="str">
        <f>"买入"</f>
        <v>买入</v>
      </c>
      <c r="F6" s="12">
        <v>74</v>
      </c>
      <c r="G6" s="10">
        <v>6500</v>
      </c>
      <c r="H6" s="10">
        <v>481000</v>
      </c>
    </row>
    <row r="7" spans="1:8" s="9" customFormat="1" x14ac:dyDescent="0.15">
      <c r="A7" s="6" t="str">
        <f>"20160406"</f>
        <v>20160406</v>
      </c>
      <c r="B7" s="7">
        <v>0.42739583333333336</v>
      </c>
      <c r="C7" s="6" t="str">
        <f>"300321"</f>
        <v>300321</v>
      </c>
      <c r="D7" s="6" t="str">
        <f>"同大股份"</f>
        <v>同大股份</v>
      </c>
      <c r="E7" s="6" t="str">
        <f>"卖出"</f>
        <v>卖出</v>
      </c>
      <c r="F7" s="8">
        <v>73.364000000000004</v>
      </c>
      <c r="G7" s="6">
        <v>-6500</v>
      </c>
      <c r="H7" s="6">
        <v>476867</v>
      </c>
    </row>
    <row r="8" spans="1:8" s="9" customFormat="1" x14ac:dyDescent="0.15">
      <c r="A8" s="10" t="str">
        <f>"20160406"</f>
        <v>20160406</v>
      </c>
      <c r="B8" s="11">
        <v>0.42937500000000001</v>
      </c>
      <c r="C8" s="10" t="str">
        <f>"000913"</f>
        <v>000913</v>
      </c>
      <c r="D8" s="10" t="str">
        <f>"钱江摩托"</f>
        <v>钱江摩托</v>
      </c>
      <c r="E8" s="10" t="str">
        <f>"买入"</f>
        <v>买入</v>
      </c>
      <c r="F8" s="12">
        <v>14.487</v>
      </c>
      <c r="G8" s="10">
        <v>32800</v>
      </c>
      <c r="H8" s="10">
        <v>475187</v>
      </c>
    </row>
    <row r="9" spans="1:8" s="9" customFormat="1" x14ac:dyDescent="0.15">
      <c r="A9" s="10" t="str">
        <f>"20160407"</f>
        <v>20160407</v>
      </c>
      <c r="B9" s="11">
        <v>0.54774305555555558</v>
      </c>
      <c r="C9" s="10" t="str">
        <f>"600234"</f>
        <v>600234</v>
      </c>
      <c r="D9" s="10" t="str">
        <f>"山水文化"</f>
        <v>山水文化</v>
      </c>
      <c r="E9" s="10" t="str">
        <f>"买入"</f>
        <v>买入</v>
      </c>
      <c r="F9" s="12">
        <v>21</v>
      </c>
      <c r="G9" s="10">
        <v>21800</v>
      </c>
      <c r="H9" s="10">
        <v>457800</v>
      </c>
    </row>
    <row r="10" spans="1:8" s="9" customFormat="1" x14ac:dyDescent="0.15">
      <c r="A10" s="6" t="str">
        <f>"20160407"</f>
        <v>20160407</v>
      </c>
      <c r="B10" s="7">
        <v>0.42511574074074071</v>
      </c>
      <c r="C10" s="6" t="str">
        <f>"000913"</f>
        <v>000913</v>
      </c>
      <c r="D10" s="6" t="str">
        <f>"钱江摩托"</f>
        <v>钱江摩托</v>
      </c>
      <c r="E10" s="6" t="str">
        <f>"卖出"</f>
        <v>卖出</v>
      </c>
      <c r="F10" s="8">
        <v>14.071</v>
      </c>
      <c r="G10" s="6">
        <v>-32800</v>
      </c>
      <c r="H10" s="6">
        <v>461531</v>
      </c>
    </row>
    <row r="11" spans="1:8" s="9" customFormat="1" x14ac:dyDescent="0.15">
      <c r="A11" s="6" t="str">
        <f>"20160408"</f>
        <v>20160408</v>
      </c>
      <c r="B11" s="7">
        <v>0.39733796296296298</v>
      </c>
      <c r="C11" s="6" t="str">
        <f>"600234"</f>
        <v>600234</v>
      </c>
      <c r="D11" s="6" t="str">
        <f>"山水文化"</f>
        <v>山水文化</v>
      </c>
      <c r="E11" s="6" t="str">
        <f>"卖出"</f>
        <v>卖出</v>
      </c>
      <c r="F11" s="8">
        <v>20.202000000000002</v>
      </c>
      <c r="G11" s="6">
        <v>-21800</v>
      </c>
      <c r="H11" s="6">
        <v>440408</v>
      </c>
    </row>
    <row r="12" spans="1:8" s="9" customFormat="1" x14ac:dyDescent="0.15">
      <c r="A12" s="10" t="str">
        <f>"20160408"</f>
        <v>20160408</v>
      </c>
      <c r="B12" s="11">
        <v>0.40008101851851857</v>
      </c>
      <c r="C12" s="10" t="str">
        <f>"300443"</f>
        <v>300443</v>
      </c>
      <c r="D12" s="10" t="str">
        <f>"金雷风电"</f>
        <v>金雷风电</v>
      </c>
      <c r="E12" s="10" t="str">
        <f>"买入"</f>
        <v>买入</v>
      </c>
      <c r="F12" s="12">
        <v>197.00700000000001</v>
      </c>
      <c r="G12" s="10">
        <v>2200</v>
      </c>
      <c r="H12" s="10">
        <v>433416</v>
      </c>
    </row>
    <row r="13" spans="1:8" s="9" customFormat="1" x14ac:dyDescent="0.15">
      <c r="A13" s="6" t="str">
        <f>"20160411"</f>
        <v>20160411</v>
      </c>
      <c r="B13" s="7">
        <v>0.40465277777777775</v>
      </c>
      <c r="C13" s="6" t="str">
        <f>"300443"</f>
        <v>300443</v>
      </c>
      <c r="D13" s="6" t="str">
        <f>"金雷风电"</f>
        <v>金雷风电</v>
      </c>
      <c r="E13" s="6" t="str">
        <f>"卖出"</f>
        <v>卖出</v>
      </c>
      <c r="F13" s="8">
        <v>192.5</v>
      </c>
      <c r="G13" s="6">
        <v>-2200</v>
      </c>
      <c r="H13" s="6">
        <v>423500</v>
      </c>
    </row>
    <row r="14" spans="1:8" s="9" customFormat="1" x14ac:dyDescent="0.15">
      <c r="A14" s="10" t="str">
        <f>"20160411"</f>
        <v>20160411</v>
      </c>
      <c r="B14" s="11">
        <v>0.41146990740740735</v>
      </c>
      <c r="C14" s="10" t="str">
        <f>"300222"</f>
        <v>300222</v>
      </c>
      <c r="D14" s="10" t="str">
        <f>"科大智能"</f>
        <v>科大智能</v>
      </c>
      <c r="E14" s="10" t="str">
        <f>"买入"</f>
        <v>买入</v>
      </c>
      <c r="F14" s="12">
        <v>28.099</v>
      </c>
      <c r="G14" s="10">
        <v>15300</v>
      </c>
      <c r="H14" s="10">
        <v>429922</v>
      </c>
    </row>
    <row r="15" spans="1:8" s="9" customFormat="1" x14ac:dyDescent="0.15">
      <c r="A15" s="6" t="str">
        <f>"20160412"</f>
        <v>20160412</v>
      </c>
      <c r="B15" s="7">
        <v>0.42469907407407409</v>
      </c>
      <c r="C15" s="6" t="str">
        <f>"300222"</f>
        <v>300222</v>
      </c>
      <c r="D15" s="6" t="str">
        <f>"科大智能"</f>
        <v>科大智能</v>
      </c>
      <c r="E15" s="6" t="str">
        <f>"卖出"</f>
        <v>卖出</v>
      </c>
      <c r="F15" s="8">
        <v>28.42</v>
      </c>
      <c r="G15" s="6">
        <v>-15300</v>
      </c>
      <c r="H15" s="6">
        <v>434826</v>
      </c>
    </row>
    <row r="16" spans="1:8" s="9" customFormat="1" x14ac:dyDescent="0.15">
      <c r="A16" s="10" t="str">
        <f>"20160413"</f>
        <v>20160413</v>
      </c>
      <c r="B16" s="11">
        <v>0.45460648148148147</v>
      </c>
      <c r="C16" s="10" t="str">
        <f>"300364"</f>
        <v>300364</v>
      </c>
      <c r="D16" s="10" t="str">
        <f>"中文在线"</f>
        <v>中文在线</v>
      </c>
      <c r="E16" s="10" t="str">
        <f>"买入"</f>
        <v>买入</v>
      </c>
      <c r="F16" s="12">
        <v>109.99</v>
      </c>
      <c r="G16" s="10">
        <v>3900</v>
      </c>
      <c r="H16" s="10">
        <v>428961</v>
      </c>
    </row>
    <row r="17" spans="1:8" s="9" customFormat="1" x14ac:dyDescent="0.15">
      <c r="A17" s="6" t="str">
        <f>"20160414"</f>
        <v>20160414</v>
      </c>
      <c r="B17" s="7">
        <v>0.39741898148148147</v>
      </c>
      <c r="C17" s="6" t="str">
        <f>"300364"</f>
        <v>300364</v>
      </c>
      <c r="D17" s="6" t="str">
        <f>"中文在线"</f>
        <v>中文在线</v>
      </c>
      <c r="E17" s="6" t="str">
        <f>"卖出"</f>
        <v>卖出</v>
      </c>
      <c r="F17" s="8">
        <v>108.012</v>
      </c>
      <c r="G17" s="6">
        <v>-3900</v>
      </c>
      <c r="H17" s="6">
        <v>421247</v>
      </c>
    </row>
    <row r="18" spans="1:8" s="9" customFormat="1" x14ac:dyDescent="0.15">
      <c r="A18" s="10" t="str">
        <f>"20160414"</f>
        <v>20160414</v>
      </c>
      <c r="B18" s="11">
        <v>0.39788194444444441</v>
      </c>
      <c r="C18" s="10" t="str">
        <f>"300506"</f>
        <v>300506</v>
      </c>
      <c r="D18" s="10" t="str">
        <f>"名家汇"</f>
        <v>名家汇</v>
      </c>
      <c r="E18" s="10" t="str">
        <f>"买入"</f>
        <v>买入</v>
      </c>
      <c r="F18" s="12">
        <v>44.9</v>
      </c>
      <c r="G18" s="10">
        <v>1400</v>
      </c>
      <c r="H18" s="10">
        <v>62860</v>
      </c>
    </row>
    <row r="19" spans="1:8" s="9" customFormat="1" x14ac:dyDescent="0.15">
      <c r="A19" s="10" t="str">
        <f>"20160414"</f>
        <v>20160414</v>
      </c>
      <c r="B19" s="11">
        <v>0.39951388888888889</v>
      </c>
      <c r="C19" s="10" t="str">
        <f>"300506"</f>
        <v>300506</v>
      </c>
      <c r="D19" s="10" t="str">
        <f>"名家汇"</f>
        <v>名家汇</v>
      </c>
      <c r="E19" s="10" t="str">
        <f>"买入"</f>
        <v>买入</v>
      </c>
      <c r="F19" s="12">
        <v>45</v>
      </c>
      <c r="G19" s="10">
        <v>8100</v>
      </c>
      <c r="H19" s="10">
        <v>364500</v>
      </c>
    </row>
    <row r="20" spans="1:8" s="9" customFormat="1" x14ac:dyDescent="0.15">
      <c r="A20" s="10" t="str">
        <f>"20160415"</f>
        <v>20160415</v>
      </c>
      <c r="B20" s="11">
        <v>0.39811342592592597</v>
      </c>
      <c r="C20" s="10" t="str">
        <f>"600890"</f>
        <v>600890</v>
      </c>
      <c r="D20" s="10" t="str">
        <f>"中房股份"</f>
        <v>中房股份</v>
      </c>
      <c r="E20" s="10" t="str">
        <f>"买入"</f>
        <v>买入</v>
      </c>
      <c r="F20" s="12">
        <v>14.34</v>
      </c>
      <c r="G20" s="10">
        <v>33500</v>
      </c>
      <c r="H20" s="10">
        <v>480390</v>
      </c>
    </row>
    <row r="21" spans="1:8" s="9" customFormat="1" x14ac:dyDescent="0.15">
      <c r="A21" s="10" t="str">
        <f>"20160415"</f>
        <v>20160415</v>
      </c>
      <c r="B21" s="11">
        <v>0.39831018518518518</v>
      </c>
      <c r="C21" s="10" t="str">
        <f>"600890"</f>
        <v>600890</v>
      </c>
      <c r="D21" s="10" t="str">
        <f>"中房股份"</f>
        <v>中房股份</v>
      </c>
      <c r="E21" s="10" t="str">
        <f>"买入"</f>
        <v>买入</v>
      </c>
      <c r="F21" s="12">
        <v>14.33</v>
      </c>
      <c r="G21" s="10">
        <v>600</v>
      </c>
      <c r="H21" s="10">
        <v>8598</v>
      </c>
    </row>
    <row r="22" spans="1:8" s="9" customFormat="1" x14ac:dyDescent="0.15">
      <c r="A22" s="6" t="str">
        <f>"20160415"</f>
        <v>20160415</v>
      </c>
      <c r="B22" s="7">
        <v>0.39587962962962964</v>
      </c>
      <c r="C22" s="6" t="str">
        <f>"300506"</f>
        <v>300506</v>
      </c>
      <c r="D22" s="6" t="str">
        <f>"名家汇"</f>
        <v>名家汇</v>
      </c>
      <c r="E22" s="6" t="str">
        <f>"卖出"</f>
        <v>卖出</v>
      </c>
      <c r="F22" s="8">
        <v>51.6</v>
      </c>
      <c r="G22" s="6">
        <v>-9500</v>
      </c>
      <c r="H22" s="6">
        <v>490200</v>
      </c>
    </row>
    <row r="23" spans="1:8" s="9" customFormat="1" x14ac:dyDescent="0.15">
      <c r="A23" s="6" t="str">
        <f>"20160418"</f>
        <v>20160418</v>
      </c>
      <c r="B23" s="7">
        <v>0.3971412037037037</v>
      </c>
      <c r="C23" s="6" t="str">
        <f>"600890"</f>
        <v>600890</v>
      </c>
      <c r="D23" s="6" t="str">
        <f>"中房股份"</f>
        <v>中房股份</v>
      </c>
      <c r="E23" s="6" t="str">
        <f>"卖出"</f>
        <v>卖出</v>
      </c>
      <c r="F23" s="8">
        <v>13.601000000000001</v>
      </c>
      <c r="G23" s="6">
        <v>-34100</v>
      </c>
      <c r="H23" s="6">
        <v>463778</v>
      </c>
    </row>
    <row r="24" spans="1:8" s="9" customFormat="1" x14ac:dyDescent="0.15">
      <c r="A24" s="10" t="str">
        <f>"20160418"</f>
        <v>20160418</v>
      </c>
      <c r="B24" s="11">
        <v>0.40297453703703701</v>
      </c>
      <c r="C24" s="10" t="str">
        <f>"300506"</f>
        <v>300506</v>
      </c>
      <c r="D24" s="10" t="str">
        <f>"名家汇"</f>
        <v>名家汇</v>
      </c>
      <c r="E24" s="10" t="str">
        <f>"买入"</f>
        <v>买入</v>
      </c>
      <c r="F24" s="12">
        <v>46.7</v>
      </c>
      <c r="G24" s="10">
        <v>9900</v>
      </c>
      <c r="H24" s="10">
        <v>462330</v>
      </c>
    </row>
    <row r="25" spans="1:8" s="9" customFormat="1" x14ac:dyDescent="0.15">
      <c r="A25" s="6" t="str">
        <f>"20160419"</f>
        <v>20160419</v>
      </c>
      <c r="B25" s="7">
        <v>0.3961689814814815</v>
      </c>
      <c r="C25" s="6" t="str">
        <f>"300506"</f>
        <v>300506</v>
      </c>
      <c r="D25" s="6" t="str">
        <f>"名家汇"</f>
        <v>名家汇</v>
      </c>
      <c r="E25" s="6" t="str">
        <f>"卖出"</f>
        <v>卖出</v>
      </c>
      <c r="F25" s="8">
        <v>48.2</v>
      </c>
      <c r="G25" s="6">
        <v>-6000</v>
      </c>
      <c r="H25" s="6">
        <v>289200</v>
      </c>
    </row>
    <row r="26" spans="1:8" s="9" customFormat="1" x14ac:dyDescent="0.15">
      <c r="A26" s="6" t="str">
        <f>"20160419"</f>
        <v>20160419</v>
      </c>
      <c r="B26" s="7">
        <v>0.39653935185185185</v>
      </c>
      <c r="C26" s="6" t="str">
        <f>"300506"</f>
        <v>300506</v>
      </c>
      <c r="D26" s="6" t="str">
        <f>"名家汇"</f>
        <v>名家汇</v>
      </c>
      <c r="E26" s="6" t="str">
        <f>"卖出"</f>
        <v>卖出</v>
      </c>
      <c r="F26" s="8">
        <v>47.88</v>
      </c>
      <c r="G26" s="6">
        <v>-3900</v>
      </c>
      <c r="H26" s="6">
        <v>186732</v>
      </c>
    </row>
    <row r="27" spans="1:8" s="9" customFormat="1" x14ac:dyDescent="0.15">
      <c r="A27" s="10" t="str">
        <f>"20160419"</f>
        <v>20160419</v>
      </c>
      <c r="B27" s="11">
        <v>0.40049768518518519</v>
      </c>
      <c r="C27" s="10" t="str">
        <f>"002786"</f>
        <v>002786</v>
      </c>
      <c r="D27" s="10" t="str">
        <f>"银宝山新"</f>
        <v>银宝山新</v>
      </c>
      <c r="E27" s="10" t="str">
        <f>"买入"</f>
        <v>买入</v>
      </c>
      <c r="F27" s="12">
        <v>53.15</v>
      </c>
      <c r="G27" s="10">
        <v>8900</v>
      </c>
      <c r="H27" s="10">
        <v>473035</v>
      </c>
    </row>
    <row r="28" spans="1:8" s="9" customFormat="1" x14ac:dyDescent="0.15">
      <c r="A28" s="6" t="str">
        <f>"20160420"</f>
        <v>20160420</v>
      </c>
      <c r="B28" s="7">
        <v>0.42233796296296294</v>
      </c>
      <c r="C28" s="6" t="str">
        <f>"002786"</f>
        <v>002786</v>
      </c>
      <c r="D28" s="6" t="str">
        <f>"银宝山新"</f>
        <v>银宝山新</v>
      </c>
      <c r="E28" s="6" t="str">
        <f>"卖出"</f>
        <v>卖出</v>
      </c>
      <c r="F28" s="8">
        <v>54.95</v>
      </c>
      <c r="G28" s="6">
        <v>-2000</v>
      </c>
      <c r="H28" s="6">
        <v>109900</v>
      </c>
    </row>
    <row r="29" spans="1:8" s="9" customFormat="1" x14ac:dyDescent="0.15">
      <c r="A29" s="6" t="str">
        <f>"20160420"</f>
        <v>20160420</v>
      </c>
      <c r="B29" s="7">
        <v>0.42395833333333338</v>
      </c>
      <c r="C29" s="6" t="str">
        <f>"002786"</f>
        <v>002786</v>
      </c>
      <c r="D29" s="6" t="str">
        <f>"银宝山新"</f>
        <v>银宝山新</v>
      </c>
      <c r="E29" s="6" t="str">
        <f>"卖出"</f>
        <v>卖出</v>
      </c>
      <c r="F29" s="8">
        <v>54.713999999999999</v>
      </c>
      <c r="G29" s="6">
        <v>-6900</v>
      </c>
      <c r="H29" s="6">
        <v>377527</v>
      </c>
    </row>
    <row r="30" spans="1:8" s="9" customFormat="1" x14ac:dyDescent="0.15">
      <c r="A30" s="10" t="str">
        <f>"20160420"</f>
        <v>20160420</v>
      </c>
      <c r="B30" s="11">
        <v>0.54243055555555553</v>
      </c>
      <c r="C30" s="10" t="str">
        <f>"300506"</f>
        <v>300506</v>
      </c>
      <c r="D30" s="10" t="str">
        <f>"名家汇"</f>
        <v>名家汇</v>
      </c>
      <c r="E30" s="10" t="str">
        <f>"买入"</f>
        <v>买入</v>
      </c>
      <c r="F30" s="12">
        <v>49.98</v>
      </c>
      <c r="G30" s="10">
        <v>5000</v>
      </c>
      <c r="H30" s="10">
        <v>249900</v>
      </c>
    </row>
    <row r="31" spans="1:8" s="9" customFormat="1" x14ac:dyDescent="0.15">
      <c r="A31" s="10" t="str">
        <f>"20160420"</f>
        <v>20160420</v>
      </c>
      <c r="B31" s="11">
        <v>0.54290509259259256</v>
      </c>
      <c r="C31" s="10" t="str">
        <f>"300506"</f>
        <v>300506</v>
      </c>
      <c r="D31" s="10" t="str">
        <f>"名家汇"</f>
        <v>名家汇</v>
      </c>
      <c r="E31" s="10" t="str">
        <f>"买入"</f>
        <v>买入</v>
      </c>
      <c r="F31" s="12">
        <v>50.54</v>
      </c>
      <c r="G31" s="10">
        <v>4700</v>
      </c>
      <c r="H31" s="10">
        <v>237538</v>
      </c>
    </row>
    <row r="32" spans="1:8" s="9" customFormat="1" x14ac:dyDescent="0.15">
      <c r="A32" s="6" t="str">
        <f>"20160421"</f>
        <v>20160421</v>
      </c>
      <c r="B32" s="7">
        <v>0.41269675925925925</v>
      </c>
      <c r="C32" s="6" t="str">
        <f>"300506"</f>
        <v>300506</v>
      </c>
      <c r="D32" s="6" t="str">
        <f>"名家汇"</f>
        <v>名家汇</v>
      </c>
      <c r="E32" s="6" t="str">
        <f>"卖出"</f>
        <v>卖出</v>
      </c>
      <c r="F32" s="8">
        <v>51.359000000000002</v>
      </c>
      <c r="G32" s="6">
        <v>-7462</v>
      </c>
      <c r="H32" s="6">
        <v>383243.56</v>
      </c>
    </row>
    <row r="33" spans="1:8" s="9" customFormat="1" x14ac:dyDescent="0.15">
      <c r="A33" s="6" t="str">
        <f>"20160421"</f>
        <v>20160421</v>
      </c>
      <c r="B33" s="7">
        <v>0.41342592592592592</v>
      </c>
      <c r="C33" s="6" t="str">
        <f>"300506"</f>
        <v>300506</v>
      </c>
      <c r="D33" s="6" t="str">
        <f>"名家汇"</f>
        <v>名家汇</v>
      </c>
      <c r="E33" s="6" t="str">
        <f>"卖出"</f>
        <v>卖出</v>
      </c>
      <c r="F33" s="8">
        <v>50.7</v>
      </c>
      <c r="G33" s="6">
        <v>-2238</v>
      </c>
      <c r="H33" s="6">
        <v>113466.6</v>
      </c>
    </row>
    <row r="34" spans="1:8" s="9" customFormat="1" x14ac:dyDescent="0.15">
      <c r="A34" s="10" t="str">
        <f>"20160421"</f>
        <v>20160421</v>
      </c>
      <c r="B34" s="11">
        <v>0.42070601851851852</v>
      </c>
      <c r="C34" s="10" t="str">
        <f>"002786"</f>
        <v>002786</v>
      </c>
      <c r="D34" s="10" t="str">
        <f>"银宝山新"</f>
        <v>银宝山新</v>
      </c>
      <c r="E34" s="10" t="str">
        <f>"买入"</f>
        <v>买入</v>
      </c>
      <c r="F34" s="12">
        <v>53.78</v>
      </c>
      <c r="G34" s="10">
        <v>9200</v>
      </c>
      <c r="H34" s="10">
        <v>494776</v>
      </c>
    </row>
    <row r="35" spans="1:8" s="9" customFormat="1" x14ac:dyDescent="0.15">
      <c r="A35" s="6" t="str">
        <f>"20160422"</f>
        <v>20160422</v>
      </c>
      <c r="B35" s="7">
        <v>0.42608796296296297</v>
      </c>
      <c r="C35" s="6" t="str">
        <f>"002786"</f>
        <v>002786</v>
      </c>
      <c r="D35" s="6" t="str">
        <f>"银宝山新"</f>
        <v>银宝山新</v>
      </c>
      <c r="E35" s="6" t="str">
        <f>"卖出"</f>
        <v>卖出</v>
      </c>
      <c r="F35" s="8">
        <v>51.935000000000002</v>
      </c>
      <c r="G35" s="6">
        <v>-6200</v>
      </c>
      <c r="H35" s="6">
        <v>322000</v>
      </c>
    </row>
    <row r="36" spans="1:8" s="9" customFormat="1" x14ac:dyDescent="0.15">
      <c r="A36" s="6" t="str">
        <f>"20160422"</f>
        <v>20160422</v>
      </c>
      <c r="B36" s="7">
        <v>0.42640046296296297</v>
      </c>
      <c r="C36" s="6" t="str">
        <f>"002786"</f>
        <v>002786</v>
      </c>
      <c r="D36" s="6" t="str">
        <f>"银宝山新"</f>
        <v>银宝山新</v>
      </c>
      <c r="E36" s="6" t="str">
        <f>"卖出"</f>
        <v>卖出</v>
      </c>
      <c r="F36" s="8">
        <v>51.81</v>
      </c>
      <c r="G36" s="6">
        <v>-3000</v>
      </c>
      <c r="H36" s="6">
        <v>155430</v>
      </c>
    </row>
    <row r="37" spans="1:8" s="9" customFormat="1" x14ac:dyDescent="0.15">
      <c r="A37" s="10" t="str">
        <f>"20160422"</f>
        <v>20160422</v>
      </c>
      <c r="B37" s="11">
        <v>0.54527777777777775</v>
      </c>
      <c r="C37" s="10" t="str">
        <f>"300135"</f>
        <v>300135</v>
      </c>
      <c r="D37" s="10" t="str">
        <f>"宝利国际"</f>
        <v>宝利国际</v>
      </c>
      <c r="E37" s="10" t="str">
        <f>"买入"</f>
        <v>买入</v>
      </c>
      <c r="F37" s="12">
        <v>6.19</v>
      </c>
      <c r="G37" s="10">
        <v>77400</v>
      </c>
      <c r="H37" s="10">
        <v>479106</v>
      </c>
    </row>
    <row r="38" spans="1:8" s="9" customFormat="1" x14ac:dyDescent="0.15">
      <c r="A38" s="6" t="str">
        <f t="shared" ref="A38:A45" si="0">"20160425"</f>
        <v>20160425</v>
      </c>
      <c r="B38" s="7">
        <v>0.40210648148148148</v>
      </c>
      <c r="C38" s="6" t="str">
        <f>"300135"</f>
        <v>300135</v>
      </c>
      <c r="D38" s="6" t="str">
        <f>"宝利国际"</f>
        <v>宝利国际</v>
      </c>
      <c r="E38" s="6" t="str">
        <f>"卖出"</f>
        <v>卖出</v>
      </c>
      <c r="F38" s="8">
        <v>5.95</v>
      </c>
      <c r="G38" s="6">
        <v>-77400</v>
      </c>
      <c r="H38" s="6">
        <v>460530</v>
      </c>
    </row>
    <row r="39" spans="1:8" s="9" customFormat="1" x14ac:dyDescent="0.15">
      <c r="A39" s="10" t="str">
        <f t="shared" si="0"/>
        <v>20160425</v>
      </c>
      <c r="B39" s="11">
        <v>0.47207175925925932</v>
      </c>
      <c r="C39" s="10" t="str">
        <f t="shared" ref="C39:C45" si="1">"002786"</f>
        <v>002786</v>
      </c>
      <c r="D39" s="10" t="str">
        <f t="shared" ref="D39:D45" si="2">"银宝山新"</f>
        <v>银宝山新</v>
      </c>
      <c r="E39" s="10" t="str">
        <f t="shared" ref="E39:E46" si="3">"买入"</f>
        <v>买入</v>
      </c>
      <c r="F39" s="12">
        <v>57.1</v>
      </c>
      <c r="G39" s="10">
        <v>500</v>
      </c>
      <c r="H39" s="10">
        <v>28550</v>
      </c>
    </row>
    <row r="40" spans="1:8" s="9" customFormat="1" x14ac:dyDescent="0.15">
      <c r="A40" s="10" t="str">
        <f t="shared" si="0"/>
        <v>20160425</v>
      </c>
      <c r="B40" s="11">
        <v>0.47216435185185185</v>
      </c>
      <c r="C40" s="10" t="str">
        <f t="shared" si="1"/>
        <v>002786</v>
      </c>
      <c r="D40" s="10" t="str">
        <f t="shared" si="2"/>
        <v>银宝山新</v>
      </c>
      <c r="E40" s="10" t="str">
        <f t="shared" si="3"/>
        <v>买入</v>
      </c>
      <c r="F40" s="12">
        <v>57.097000000000001</v>
      </c>
      <c r="G40" s="10">
        <v>1500</v>
      </c>
      <c r="H40" s="10">
        <v>85646</v>
      </c>
    </row>
    <row r="41" spans="1:8" s="9" customFormat="1" x14ac:dyDescent="0.15">
      <c r="A41" s="10" t="str">
        <f t="shared" si="0"/>
        <v>20160425</v>
      </c>
      <c r="B41" s="11">
        <v>0.47247685185185184</v>
      </c>
      <c r="C41" s="10" t="str">
        <f t="shared" si="1"/>
        <v>002786</v>
      </c>
      <c r="D41" s="10" t="str">
        <f t="shared" si="2"/>
        <v>银宝山新</v>
      </c>
      <c r="E41" s="10" t="str">
        <f t="shared" si="3"/>
        <v>买入</v>
      </c>
      <c r="F41" s="12">
        <v>57.09</v>
      </c>
      <c r="G41" s="10">
        <v>200</v>
      </c>
      <c r="H41" s="10">
        <v>11418</v>
      </c>
    </row>
    <row r="42" spans="1:8" s="9" customFormat="1" x14ac:dyDescent="0.15">
      <c r="A42" s="10" t="str">
        <f t="shared" si="0"/>
        <v>20160425</v>
      </c>
      <c r="B42" s="11">
        <v>0.47268518518518521</v>
      </c>
      <c r="C42" s="10" t="str">
        <f t="shared" si="1"/>
        <v>002786</v>
      </c>
      <c r="D42" s="10" t="str">
        <f t="shared" si="2"/>
        <v>银宝山新</v>
      </c>
      <c r="E42" s="10" t="str">
        <f t="shared" si="3"/>
        <v>买入</v>
      </c>
      <c r="F42" s="12">
        <v>57.1</v>
      </c>
      <c r="G42" s="10">
        <v>200</v>
      </c>
      <c r="H42" s="10">
        <v>11420</v>
      </c>
    </row>
    <row r="43" spans="1:8" s="9" customFormat="1" x14ac:dyDescent="0.15">
      <c r="A43" s="10" t="str">
        <f t="shared" si="0"/>
        <v>20160425</v>
      </c>
      <c r="B43" s="11">
        <v>0.47291666666666665</v>
      </c>
      <c r="C43" s="10" t="str">
        <f t="shared" si="1"/>
        <v>002786</v>
      </c>
      <c r="D43" s="10" t="str">
        <f t="shared" si="2"/>
        <v>银宝山新</v>
      </c>
      <c r="E43" s="10" t="str">
        <f t="shared" si="3"/>
        <v>买入</v>
      </c>
      <c r="F43" s="12">
        <v>57.274999999999999</v>
      </c>
      <c r="G43" s="10">
        <v>400</v>
      </c>
      <c r="H43" s="10">
        <v>22910</v>
      </c>
    </row>
    <row r="44" spans="1:8" s="9" customFormat="1" x14ac:dyDescent="0.15">
      <c r="A44" s="10" t="str">
        <f t="shared" si="0"/>
        <v>20160425</v>
      </c>
      <c r="B44" s="11">
        <v>0.47340277777777778</v>
      </c>
      <c r="C44" s="10" t="str">
        <f t="shared" si="1"/>
        <v>002786</v>
      </c>
      <c r="D44" s="10" t="str">
        <f t="shared" si="2"/>
        <v>银宝山新</v>
      </c>
      <c r="E44" s="10" t="str">
        <f t="shared" si="3"/>
        <v>买入</v>
      </c>
      <c r="F44" s="12">
        <v>57.4</v>
      </c>
      <c r="G44" s="10">
        <v>1200</v>
      </c>
      <c r="H44" s="10">
        <v>68880</v>
      </c>
    </row>
    <row r="45" spans="1:8" s="9" customFormat="1" x14ac:dyDescent="0.15">
      <c r="A45" s="10" t="str">
        <f t="shared" si="0"/>
        <v>20160425</v>
      </c>
      <c r="B45" s="11">
        <v>0.47362268518518519</v>
      </c>
      <c r="C45" s="10" t="str">
        <f t="shared" si="1"/>
        <v>002786</v>
      </c>
      <c r="D45" s="10" t="str">
        <f t="shared" si="2"/>
        <v>银宝山新</v>
      </c>
      <c r="E45" s="10" t="str">
        <f t="shared" si="3"/>
        <v>买入</v>
      </c>
      <c r="F45" s="12">
        <v>57.55</v>
      </c>
      <c r="G45" s="10">
        <v>4000</v>
      </c>
      <c r="H45" s="10">
        <v>230200</v>
      </c>
    </row>
    <row r="46" spans="1:8" s="9" customFormat="1" x14ac:dyDescent="0.15">
      <c r="A46" s="10" t="str">
        <f>"20160426"</f>
        <v>20160426</v>
      </c>
      <c r="B46" s="11">
        <v>0.41157407407407409</v>
      </c>
      <c r="C46" s="10" t="str">
        <f>"603028"</f>
        <v>603028</v>
      </c>
      <c r="D46" s="10" t="str">
        <f>"赛福天"</f>
        <v>赛福天</v>
      </c>
      <c r="E46" s="10" t="str">
        <f t="shared" si="3"/>
        <v>买入</v>
      </c>
      <c r="F46" s="12">
        <v>29.19</v>
      </c>
      <c r="G46" s="10">
        <v>15200</v>
      </c>
      <c r="H46" s="10">
        <v>443688</v>
      </c>
    </row>
    <row r="47" spans="1:8" s="9" customFormat="1" x14ac:dyDescent="0.15">
      <c r="A47" s="6" t="str">
        <f>"20160426"</f>
        <v>20160426</v>
      </c>
      <c r="B47" s="7">
        <v>0.4107986111111111</v>
      </c>
      <c r="C47" s="6" t="str">
        <f>"002786"</f>
        <v>002786</v>
      </c>
      <c r="D47" s="6" t="str">
        <f>"银宝山新"</f>
        <v>银宝山新</v>
      </c>
      <c r="E47" s="6" t="str">
        <f>"卖出"</f>
        <v>卖出</v>
      </c>
      <c r="F47" s="8">
        <v>56</v>
      </c>
      <c r="G47" s="6">
        <v>-8000</v>
      </c>
      <c r="H47" s="6">
        <v>448000</v>
      </c>
    </row>
    <row r="48" spans="1:8" s="9" customFormat="1" x14ac:dyDescent="0.15">
      <c r="A48" s="6" t="str">
        <f>"20160427"</f>
        <v>20160427</v>
      </c>
      <c r="B48" s="7">
        <v>0.39780092592592592</v>
      </c>
      <c r="C48" s="6" t="str">
        <f>"603028"</f>
        <v>603028</v>
      </c>
      <c r="D48" s="6" t="str">
        <f>"赛福天"</f>
        <v>赛福天</v>
      </c>
      <c r="E48" s="6" t="str">
        <f>"卖出"</f>
        <v>卖出</v>
      </c>
      <c r="F48" s="8">
        <v>32.4</v>
      </c>
      <c r="G48" s="6">
        <v>-15200</v>
      </c>
      <c r="H48" s="6">
        <v>492480</v>
      </c>
    </row>
    <row r="49" spans="1:8" s="9" customFormat="1" x14ac:dyDescent="0.15">
      <c r="A49" s="10" t="str">
        <f>"20160427"</f>
        <v>20160427</v>
      </c>
      <c r="B49" s="11">
        <v>0.40528935185185189</v>
      </c>
      <c r="C49" s="10" t="str">
        <f>"002769"</f>
        <v>002769</v>
      </c>
      <c r="D49" s="10" t="str">
        <f>"普路通"</f>
        <v>普路通</v>
      </c>
      <c r="E49" s="10" t="str">
        <f>"买入"</f>
        <v>买入</v>
      </c>
      <c r="F49" s="12">
        <v>72.486000000000004</v>
      </c>
      <c r="G49" s="10">
        <v>6800</v>
      </c>
      <c r="H49" s="10">
        <v>492905</v>
      </c>
    </row>
    <row r="50" spans="1:8" s="9" customFormat="1" x14ac:dyDescent="0.15">
      <c r="A50" s="6" t="str">
        <f>"20160428"</f>
        <v>20160428</v>
      </c>
      <c r="B50" s="7">
        <v>0.40958333333333335</v>
      </c>
      <c r="C50" s="6" t="str">
        <f>"002769"</f>
        <v>002769</v>
      </c>
      <c r="D50" s="6" t="str">
        <f>"普路通"</f>
        <v>普路通</v>
      </c>
      <c r="E50" s="6" t="str">
        <f>"卖出"</f>
        <v>卖出</v>
      </c>
      <c r="F50" s="8">
        <v>72.950999999999993</v>
      </c>
      <c r="G50" s="6">
        <v>-6800</v>
      </c>
      <c r="H50" s="6">
        <v>496066.02</v>
      </c>
    </row>
    <row r="51" spans="1:8" s="9" customFormat="1" x14ac:dyDescent="0.15">
      <c r="A51" s="10" t="str">
        <f>"20160428"</f>
        <v>20160428</v>
      </c>
      <c r="B51" s="11">
        <v>0.4128472222222222</v>
      </c>
      <c r="C51" s="10" t="str">
        <f>"002786"</f>
        <v>002786</v>
      </c>
      <c r="D51" s="10" t="str">
        <f>"银宝山新"</f>
        <v>银宝山新</v>
      </c>
      <c r="E51" s="10" t="str">
        <f>"买入"</f>
        <v>买入</v>
      </c>
      <c r="F51" s="12">
        <v>54.42</v>
      </c>
      <c r="G51" s="10">
        <v>9100</v>
      </c>
      <c r="H51" s="10">
        <v>495222</v>
      </c>
    </row>
    <row r="52" spans="1:8" s="9" customFormat="1" x14ac:dyDescent="0.15">
      <c r="A52" s="6" t="str">
        <f>"20160429"</f>
        <v>20160429</v>
      </c>
      <c r="B52" s="7">
        <v>0.55652777777777784</v>
      </c>
      <c r="C52" s="6" t="str">
        <f>"002786"</f>
        <v>002786</v>
      </c>
      <c r="D52" s="6" t="str">
        <f>"银宝山新"</f>
        <v>银宝山新</v>
      </c>
      <c r="E52" s="6" t="str">
        <f>"卖出"</f>
        <v>卖出</v>
      </c>
      <c r="F52" s="8">
        <v>58.19</v>
      </c>
      <c r="G52" s="6">
        <v>-9100</v>
      </c>
      <c r="H52" s="6">
        <v>529530</v>
      </c>
    </row>
    <row r="53" spans="1:8" s="9" customFormat="1" x14ac:dyDescent="0.15">
      <c r="A53" s="10" t="str">
        <f>"20160429"</f>
        <v>20160429</v>
      </c>
      <c r="B53" s="11">
        <v>0.61709490740740736</v>
      </c>
      <c r="C53" s="10" t="str">
        <f>"002634"</f>
        <v>002634</v>
      </c>
      <c r="D53" s="10" t="str">
        <f>"棒杰股份"</f>
        <v>棒杰股份</v>
      </c>
      <c r="E53" s="10" t="str">
        <f>"买入"</f>
        <v>买入</v>
      </c>
      <c r="F53" s="12">
        <v>46.564</v>
      </c>
      <c r="G53" s="10">
        <v>4400</v>
      </c>
      <c r="H53" s="10">
        <v>204881</v>
      </c>
    </row>
    <row r="54" spans="1:8" s="9" customFormat="1" x14ac:dyDescent="0.15">
      <c r="A54" s="10" t="str">
        <f>"20160429"</f>
        <v>20160429</v>
      </c>
      <c r="B54" s="11">
        <v>0.61755787037037035</v>
      </c>
      <c r="C54" s="10" t="str">
        <f>"002634"</f>
        <v>002634</v>
      </c>
      <c r="D54" s="10" t="str">
        <f>"棒杰股份"</f>
        <v>棒杰股份</v>
      </c>
      <c r="E54" s="10" t="str">
        <f>"买入"</f>
        <v>买入</v>
      </c>
      <c r="F54" s="12">
        <v>46.59</v>
      </c>
      <c r="G54" s="10">
        <v>2000</v>
      </c>
      <c r="H54" s="10">
        <v>93180</v>
      </c>
    </row>
    <row r="55" spans="1:8" s="9" customFormat="1" x14ac:dyDescent="0.15">
      <c r="A55" s="10" t="str">
        <f>"20160429"</f>
        <v>20160429</v>
      </c>
      <c r="B55" s="11">
        <v>0.6211458333333334</v>
      </c>
      <c r="C55" s="10" t="str">
        <f>"002634"</f>
        <v>002634</v>
      </c>
      <c r="D55" s="10" t="str">
        <f>"棒杰股份"</f>
        <v>棒杰股份</v>
      </c>
      <c r="E55" s="10" t="str">
        <f>"买入"</f>
        <v>买入</v>
      </c>
      <c r="F55" s="12">
        <v>46.447000000000003</v>
      </c>
      <c r="G55" s="10">
        <v>5000</v>
      </c>
      <c r="H55" s="10">
        <v>232235</v>
      </c>
    </row>
    <row r="56" spans="1:8" s="9" customFormat="1" x14ac:dyDescent="0.15">
      <c r="A56" s="6" t="str">
        <f>"20160503"</f>
        <v>20160503</v>
      </c>
      <c r="B56" s="7">
        <v>0.40476851851851853</v>
      </c>
      <c r="C56" s="6" t="str">
        <f>"002634"</f>
        <v>002634</v>
      </c>
      <c r="D56" s="6" t="str">
        <f>"棒杰股份"</f>
        <v>棒杰股份</v>
      </c>
      <c r="E56" s="6" t="str">
        <f>"卖出"</f>
        <v>卖出</v>
      </c>
      <c r="F56" s="8">
        <v>44.7</v>
      </c>
      <c r="G56" s="6">
        <v>-11400</v>
      </c>
      <c r="H56" s="6">
        <v>509580</v>
      </c>
    </row>
    <row r="57" spans="1:8" s="9" customFormat="1" x14ac:dyDescent="0.15">
      <c r="A57" s="10" t="str">
        <f>"20160503"</f>
        <v>20160503</v>
      </c>
      <c r="B57" s="11">
        <v>0.41620370370370369</v>
      </c>
      <c r="C57" s="10" t="str">
        <f>"300264"</f>
        <v>300264</v>
      </c>
      <c r="D57" s="10" t="str">
        <f>"佳创视讯"</f>
        <v>佳创视讯</v>
      </c>
      <c r="E57" s="10" t="str">
        <f>"买入"</f>
        <v>买入</v>
      </c>
      <c r="F57" s="12">
        <v>25.15</v>
      </c>
      <c r="G57" s="10">
        <v>6700</v>
      </c>
      <c r="H57" s="10">
        <v>168505</v>
      </c>
    </row>
    <row r="58" spans="1:8" s="9" customFormat="1" x14ac:dyDescent="0.15">
      <c r="A58" s="10" t="str">
        <f>"20160503"</f>
        <v>20160503</v>
      </c>
      <c r="B58" s="11">
        <v>0.41692129629629626</v>
      </c>
      <c r="C58" s="10" t="str">
        <f>"300264"</f>
        <v>300264</v>
      </c>
      <c r="D58" s="10" t="str">
        <f>"佳创视讯"</f>
        <v>佳创视讯</v>
      </c>
      <c r="E58" s="10" t="str">
        <f>"买入"</f>
        <v>买入</v>
      </c>
      <c r="F58" s="12">
        <v>25.93</v>
      </c>
      <c r="G58" s="10">
        <v>13100</v>
      </c>
      <c r="H58" s="10">
        <v>339683</v>
      </c>
    </row>
    <row r="59" spans="1:8" s="9" customFormat="1" x14ac:dyDescent="0.15">
      <c r="A59" s="6" t="str">
        <f>"20160504"</f>
        <v>20160504</v>
      </c>
      <c r="B59" s="7">
        <v>0.41045138888888894</v>
      </c>
      <c r="C59" s="6" t="str">
        <f>"300264"</f>
        <v>300264</v>
      </c>
      <c r="D59" s="6" t="str">
        <f>"佳创视讯"</f>
        <v>佳创视讯</v>
      </c>
      <c r="E59" s="6" t="str">
        <f>"卖出"</f>
        <v>卖出</v>
      </c>
      <c r="F59" s="8">
        <v>25.302</v>
      </c>
      <c r="G59" s="6">
        <v>-19800</v>
      </c>
      <c r="H59" s="6">
        <v>500970</v>
      </c>
    </row>
    <row r="60" spans="1:8" s="9" customFormat="1" x14ac:dyDescent="0.15">
      <c r="A60" s="10" t="str">
        <f>"20160504"</f>
        <v>20160504</v>
      </c>
      <c r="B60" s="11">
        <v>0.4198263888888889</v>
      </c>
      <c r="C60" s="10" t="str">
        <f>"300466"</f>
        <v>300466</v>
      </c>
      <c r="D60" s="10" t="str">
        <f>"赛摩电气"</f>
        <v>赛摩电气</v>
      </c>
      <c r="E60" s="10" t="str">
        <f>"买入"</f>
        <v>买入</v>
      </c>
      <c r="F60" s="12">
        <v>33.15</v>
      </c>
      <c r="G60" s="10">
        <v>15000</v>
      </c>
      <c r="H60" s="10">
        <v>497250</v>
      </c>
    </row>
    <row r="61" spans="1:8" s="9" customFormat="1" x14ac:dyDescent="0.15">
      <c r="A61" s="6" t="str">
        <f>"20160505"</f>
        <v>20160505</v>
      </c>
      <c r="B61" s="7">
        <v>0.39914351851851854</v>
      </c>
      <c r="C61" s="6" t="str">
        <f>"300466"</f>
        <v>300466</v>
      </c>
      <c r="D61" s="6" t="str">
        <f>"赛摩电气"</f>
        <v>赛摩电气</v>
      </c>
      <c r="E61" s="6" t="str">
        <f>"卖出"</f>
        <v>卖出</v>
      </c>
      <c r="F61" s="8">
        <v>36.654000000000003</v>
      </c>
      <c r="G61" s="6">
        <v>-15000</v>
      </c>
      <c r="H61" s="6">
        <v>549815</v>
      </c>
    </row>
    <row r="62" spans="1:8" s="9" customFormat="1" x14ac:dyDescent="0.15">
      <c r="A62" s="10" t="str">
        <f>"20160505"</f>
        <v>20160505</v>
      </c>
      <c r="B62" s="11">
        <v>0.41114583333333332</v>
      </c>
      <c r="C62" s="10" t="str">
        <f>"002786"</f>
        <v>002786</v>
      </c>
      <c r="D62" s="10" t="str">
        <f>"银宝山新"</f>
        <v>银宝山新</v>
      </c>
      <c r="E62" s="10" t="str">
        <f>"买入"</f>
        <v>买入</v>
      </c>
      <c r="F62" s="12">
        <v>61.889000000000003</v>
      </c>
      <c r="G62" s="10">
        <v>8900</v>
      </c>
      <c r="H62" s="10">
        <v>550810</v>
      </c>
    </row>
    <row r="63" spans="1:8" s="9" customFormat="1" x14ac:dyDescent="0.15">
      <c r="A63" s="6" t="str">
        <f>"20160506"</f>
        <v>20160506</v>
      </c>
      <c r="B63" s="7">
        <v>0.40784722222222225</v>
      </c>
      <c r="C63" s="6" t="str">
        <f>"002786"</f>
        <v>002786</v>
      </c>
      <c r="D63" s="6" t="str">
        <f>"银宝山新"</f>
        <v>银宝山新</v>
      </c>
      <c r="E63" s="6" t="str">
        <f>"卖出"</f>
        <v>卖出</v>
      </c>
      <c r="F63" s="8">
        <v>65.558999999999997</v>
      </c>
      <c r="G63" s="6">
        <v>-8900</v>
      </c>
      <c r="H63" s="6">
        <v>583471</v>
      </c>
    </row>
    <row r="64" spans="1:8" s="9" customFormat="1" x14ac:dyDescent="0.15">
      <c r="A64" s="10" t="str">
        <f>"20160506"</f>
        <v>20160506</v>
      </c>
      <c r="B64" s="11">
        <v>0.41043981481481479</v>
      </c>
      <c r="C64" s="10" t="str">
        <f>"300466"</f>
        <v>300466</v>
      </c>
      <c r="D64" s="10" t="str">
        <f>"赛摩电气"</f>
        <v>赛摩电气</v>
      </c>
      <c r="E64" s="10" t="str">
        <f>"买入"</f>
        <v>买入</v>
      </c>
      <c r="F64" s="12">
        <v>38.299999999999997</v>
      </c>
      <c r="G64" s="10">
        <v>15100</v>
      </c>
      <c r="H64" s="10">
        <v>578330</v>
      </c>
    </row>
    <row r="65" spans="1:8" s="9" customFormat="1" x14ac:dyDescent="0.15">
      <c r="A65" s="6" t="str">
        <f t="shared" ref="A65:A71" si="4">"20160509"</f>
        <v>20160509</v>
      </c>
      <c r="B65" s="7">
        <v>0.4382523148148148</v>
      </c>
      <c r="C65" s="6" t="str">
        <f>"300466"</f>
        <v>300466</v>
      </c>
      <c r="D65" s="6" t="str">
        <f>"赛摩电气"</f>
        <v>赛摩电气</v>
      </c>
      <c r="E65" s="6" t="str">
        <f>"卖出"</f>
        <v>卖出</v>
      </c>
      <c r="F65" s="8">
        <v>36.914000000000001</v>
      </c>
      <c r="G65" s="6">
        <v>-15100</v>
      </c>
      <c r="H65" s="6">
        <v>557398</v>
      </c>
    </row>
    <row r="66" spans="1:8" s="9" customFormat="1" x14ac:dyDescent="0.15">
      <c r="A66" s="10" t="str">
        <f t="shared" si="4"/>
        <v>20160509</v>
      </c>
      <c r="B66" s="11">
        <v>0.46964120370370371</v>
      </c>
      <c r="C66" s="10" t="str">
        <f t="shared" ref="C66:C71" si="5">"002634"</f>
        <v>002634</v>
      </c>
      <c r="D66" s="10" t="str">
        <f t="shared" ref="D66:D71" si="6">"棒杰股份"</f>
        <v>棒杰股份</v>
      </c>
      <c r="E66" s="10" t="str">
        <f t="shared" ref="E66:E75" si="7">"买入"</f>
        <v>买入</v>
      </c>
      <c r="F66" s="12">
        <v>51.457999999999998</v>
      </c>
      <c r="G66" s="10">
        <v>900</v>
      </c>
      <c r="H66" s="10">
        <v>46312</v>
      </c>
    </row>
    <row r="67" spans="1:8" s="9" customFormat="1" x14ac:dyDescent="0.15">
      <c r="A67" s="10" t="str">
        <f t="shared" si="4"/>
        <v>20160509</v>
      </c>
      <c r="B67" s="11">
        <v>0.46972222222222221</v>
      </c>
      <c r="C67" s="10" t="str">
        <f t="shared" si="5"/>
        <v>002634</v>
      </c>
      <c r="D67" s="10" t="str">
        <f t="shared" si="6"/>
        <v>棒杰股份</v>
      </c>
      <c r="E67" s="10" t="str">
        <f t="shared" si="7"/>
        <v>买入</v>
      </c>
      <c r="F67" s="12">
        <v>51.48</v>
      </c>
      <c r="G67" s="10">
        <v>2000</v>
      </c>
      <c r="H67" s="10">
        <v>102960</v>
      </c>
    </row>
    <row r="68" spans="1:8" s="9" customFormat="1" x14ac:dyDescent="0.15">
      <c r="A68" s="10" t="str">
        <f t="shared" si="4"/>
        <v>20160509</v>
      </c>
      <c r="B68" s="11">
        <v>0.47005787037037039</v>
      </c>
      <c r="C68" s="10" t="str">
        <f t="shared" si="5"/>
        <v>002634</v>
      </c>
      <c r="D68" s="10" t="str">
        <f t="shared" si="6"/>
        <v>棒杰股份</v>
      </c>
      <c r="E68" s="10" t="str">
        <f t="shared" si="7"/>
        <v>买入</v>
      </c>
      <c r="F68" s="12">
        <v>51.49</v>
      </c>
      <c r="G68" s="10">
        <v>2000</v>
      </c>
      <c r="H68" s="10">
        <v>102980</v>
      </c>
    </row>
    <row r="69" spans="1:8" s="9" customFormat="1" x14ac:dyDescent="0.15">
      <c r="A69" s="10" t="str">
        <f t="shared" si="4"/>
        <v>20160509</v>
      </c>
      <c r="B69" s="11">
        <v>0.47015046296296298</v>
      </c>
      <c r="C69" s="10" t="str">
        <f t="shared" si="5"/>
        <v>002634</v>
      </c>
      <c r="D69" s="10" t="str">
        <f t="shared" si="6"/>
        <v>棒杰股份</v>
      </c>
      <c r="E69" s="10" t="str">
        <f t="shared" si="7"/>
        <v>买入</v>
      </c>
      <c r="F69" s="12">
        <v>51.5</v>
      </c>
      <c r="G69" s="10">
        <v>2000</v>
      </c>
      <c r="H69" s="10">
        <v>103000</v>
      </c>
    </row>
    <row r="70" spans="1:8" s="9" customFormat="1" x14ac:dyDescent="0.15">
      <c r="A70" s="10" t="str">
        <f t="shared" si="4"/>
        <v>20160509</v>
      </c>
      <c r="B70" s="11">
        <v>0.4704861111111111</v>
      </c>
      <c r="C70" s="10" t="str">
        <f t="shared" si="5"/>
        <v>002634</v>
      </c>
      <c r="D70" s="10" t="str">
        <f t="shared" si="6"/>
        <v>棒杰股份</v>
      </c>
      <c r="E70" s="10" t="str">
        <f t="shared" si="7"/>
        <v>买入</v>
      </c>
      <c r="F70" s="12">
        <v>51.5</v>
      </c>
      <c r="G70" s="10">
        <v>2000</v>
      </c>
      <c r="H70" s="10">
        <v>103000</v>
      </c>
    </row>
    <row r="71" spans="1:8" s="9" customFormat="1" x14ac:dyDescent="0.15">
      <c r="A71" s="10" t="str">
        <f t="shared" si="4"/>
        <v>20160509</v>
      </c>
      <c r="B71" s="11">
        <v>0.4707175925925926</v>
      </c>
      <c r="C71" s="10" t="str">
        <f t="shared" si="5"/>
        <v>002634</v>
      </c>
      <c r="D71" s="10" t="str">
        <f t="shared" si="6"/>
        <v>棒杰股份</v>
      </c>
      <c r="E71" s="10" t="str">
        <f t="shared" si="7"/>
        <v>买入</v>
      </c>
      <c r="F71" s="12">
        <v>51.493000000000002</v>
      </c>
      <c r="G71" s="10">
        <v>2000</v>
      </c>
      <c r="H71" s="10">
        <v>102985</v>
      </c>
    </row>
    <row r="72" spans="1:8" s="9" customFormat="1" x14ac:dyDescent="0.15">
      <c r="A72" s="10" t="str">
        <f>"20160510"</f>
        <v>20160510</v>
      </c>
      <c r="B72" s="11">
        <v>0.42263888888888884</v>
      </c>
      <c r="C72" s="10" t="str">
        <f>"600610"</f>
        <v>600610</v>
      </c>
      <c r="D72" s="10" t="str">
        <f>"中毅达"</f>
        <v>中毅达</v>
      </c>
      <c r="E72" s="10" t="str">
        <f t="shared" si="7"/>
        <v>买入</v>
      </c>
      <c r="F72" s="12">
        <v>14.343999999999999</v>
      </c>
      <c r="G72" s="10">
        <v>9600</v>
      </c>
      <c r="H72" s="10">
        <v>137700</v>
      </c>
    </row>
    <row r="73" spans="1:8" s="9" customFormat="1" x14ac:dyDescent="0.15">
      <c r="A73" s="10" t="str">
        <f>"20160510"</f>
        <v>20160510</v>
      </c>
      <c r="B73" s="11">
        <v>0.42288194444444444</v>
      </c>
      <c r="C73" s="10" t="str">
        <f>"600610"</f>
        <v>600610</v>
      </c>
      <c r="D73" s="10" t="str">
        <f>"中毅达"</f>
        <v>中毅达</v>
      </c>
      <c r="E73" s="10" t="str">
        <f t="shared" si="7"/>
        <v>买入</v>
      </c>
      <c r="F73" s="12">
        <v>14.35</v>
      </c>
      <c r="G73" s="10">
        <v>10000</v>
      </c>
      <c r="H73" s="10">
        <v>143500</v>
      </c>
    </row>
    <row r="74" spans="1:8" s="9" customFormat="1" x14ac:dyDescent="0.15">
      <c r="A74" s="10" t="str">
        <f>"20160510"</f>
        <v>20160510</v>
      </c>
      <c r="B74" s="11">
        <v>0.42304398148148148</v>
      </c>
      <c r="C74" s="10" t="str">
        <f>"600610"</f>
        <v>600610</v>
      </c>
      <c r="D74" s="10" t="str">
        <f>"中毅达"</f>
        <v>中毅达</v>
      </c>
      <c r="E74" s="10" t="str">
        <f t="shared" si="7"/>
        <v>买入</v>
      </c>
      <c r="F74" s="12">
        <v>14.35</v>
      </c>
      <c r="G74" s="10">
        <v>5000</v>
      </c>
      <c r="H74" s="10">
        <v>71750</v>
      </c>
    </row>
    <row r="75" spans="1:8" s="9" customFormat="1" x14ac:dyDescent="0.15">
      <c r="A75" s="10" t="str">
        <f>"20160510"</f>
        <v>20160510</v>
      </c>
      <c r="B75" s="11">
        <v>0.42697916666666669</v>
      </c>
      <c r="C75" s="10" t="str">
        <f>"600610"</f>
        <v>600610</v>
      </c>
      <c r="D75" s="10" t="str">
        <f>"中毅达"</f>
        <v>中毅达</v>
      </c>
      <c r="E75" s="10" t="str">
        <f t="shared" si="7"/>
        <v>买入</v>
      </c>
      <c r="F75" s="12">
        <v>14.09</v>
      </c>
      <c r="G75" s="10">
        <v>15000</v>
      </c>
      <c r="H75" s="10">
        <v>211350</v>
      </c>
    </row>
    <row r="76" spans="1:8" s="9" customFormat="1" x14ac:dyDescent="0.15">
      <c r="A76" s="6" t="str">
        <f>"20160510"</f>
        <v>20160510</v>
      </c>
      <c r="B76" s="7">
        <v>0.40987268518518521</v>
      </c>
      <c r="C76" s="6" t="str">
        <f>"002634"</f>
        <v>002634</v>
      </c>
      <c r="D76" s="6" t="str">
        <f>"棒杰股份"</f>
        <v>棒杰股份</v>
      </c>
      <c r="E76" s="6" t="str">
        <f>"卖出"</f>
        <v>卖出</v>
      </c>
      <c r="F76" s="8">
        <v>52.16</v>
      </c>
      <c r="G76" s="6">
        <v>-10900</v>
      </c>
      <c r="H76" s="6">
        <v>568540</v>
      </c>
    </row>
    <row r="77" spans="1:8" s="9" customFormat="1" x14ac:dyDescent="0.15">
      <c r="A77" s="6" t="str">
        <f>"20160511"</f>
        <v>20160511</v>
      </c>
      <c r="B77" s="7">
        <v>0.39883101851851849</v>
      </c>
      <c r="C77" s="6" t="str">
        <f>"600610"</f>
        <v>600610</v>
      </c>
      <c r="D77" s="6" t="str">
        <f>"中毅达"</f>
        <v>中毅达</v>
      </c>
      <c r="E77" s="6" t="str">
        <f>"卖出"</f>
        <v>卖出</v>
      </c>
      <c r="F77" s="8">
        <v>13.901999999999999</v>
      </c>
      <c r="G77" s="6">
        <v>-39600</v>
      </c>
      <c r="H77" s="6">
        <v>550523.35</v>
      </c>
    </row>
    <row r="78" spans="1:8" s="9" customFormat="1" x14ac:dyDescent="0.15">
      <c r="A78" s="10" t="str">
        <f>"20160511"</f>
        <v>20160511</v>
      </c>
      <c r="B78" s="11">
        <v>0.40943287037037041</v>
      </c>
      <c r="C78" s="10" t="str">
        <f>"300350"</f>
        <v>300350</v>
      </c>
      <c r="D78" s="10" t="str">
        <f>"华鹏飞"</f>
        <v>华鹏飞</v>
      </c>
      <c r="E78" s="10" t="str">
        <f>"买入"</f>
        <v>买入</v>
      </c>
      <c r="F78" s="12">
        <v>30.645</v>
      </c>
      <c r="G78" s="10">
        <v>2900</v>
      </c>
      <c r="H78" s="10">
        <v>88870</v>
      </c>
    </row>
    <row r="79" spans="1:8" s="9" customFormat="1" x14ac:dyDescent="0.15">
      <c r="A79" s="10" t="str">
        <f>"20160511"</f>
        <v>20160511</v>
      </c>
      <c r="B79" s="11">
        <v>0.4130671296296296</v>
      </c>
      <c r="C79" s="10" t="str">
        <f>"300350"</f>
        <v>300350</v>
      </c>
      <c r="D79" s="10" t="str">
        <f>"华鹏飞"</f>
        <v>华鹏飞</v>
      </c>
      <c r="E79" s="10" t="str">
        <f>"买入"</f>
        <v>买入</v>
      </c>
      <c r="F79" s="12">
        <v>30.998000000000001</v>
      </c>
      <c r="G79" s="10">
        <v>5000</v>
      </c>
      <c r="H79" s="10">
        <v>154992</v>
      </c>
    </row>
    <row r="80" spans="1:8" s="9" customFormat="1" x14ac:dyDescent="0.15">
      <c r="A80" s="10" t="str">
        <f>"20160511"</f>
        <v>20160511</v>
      </c>
      <c r="B80" s="11">
        <v>0.41847222222222219</v>
      </c>
      <c r="C80" s="10" t="str">
        <f>"300350"</f>
        <v>300350</v>
      </c>
      <c r="D80" s="10" t="str">
        <f>"华鹏飞"</f>
        <v>华鹏飞</v>
      </c>
      <c r="E80" s="10" t="str">
        <f>"买入"</f>
        <v>买入</v>
      </c>
      <c r="F80" s="12">
        <v>30.8</v>
      </c>
      <c r="G80" s="10">
        <v>3943</v>
      </c>
      <c r="H80" s="10">
        <v>121444.4</v>
      </c>
    </row>
    <row r="81" spans="1:8" s="9" customFormat="1" x14ac:dyDescent="0.15">
      <c r="A81" s="10" t="str">
        <f>"20160511"</f>
        <v>20160511</v>
      </c>
      <c r="B81" s="11">
        <v>0.42401620370370369</v>
      </c>
      <c r="C81" s="10" t="str">
        <f>"300350"</f>
        <v>300350</v>
      </c>
      <c r="D81" s="10" t="str">
        <f>"华鹏飞"</f>
        <v>华鹏飞</v>
      </c>
      <c r="E81" s="10" t="str">
        <f>"买入"</f>
        <v>买入</v>
      </c>
      <c r="F81" s="12">
        <v>30.68</v>
      </c>
      <c r="G81" s="10">
        <v>6100</v>
      </c>
      <c r="H81" s="10">
        <v>187148</v>
      </c>
    </row>
    <row r="82" spans="1:8" s="9" customFormat="1" x14ac:dyDescent="0.15">
      <c r="A82" s="6" t="str">
        <f>"20160512"</f>
        <v>20160512</v>
      </c>
      <c r="B82" s="7">
        <v>0.43011574074074077</v>
      </c>
      <c r="C82" s="6" t="str">
        <f>"300350"</f>
        <v>300350</v>
      </c>
      <c r="D82" s="6" t="str">
        <f>"华鹏飞"</f>
        <v>华鹏飞</v>
      </c>
      <c r="E82" s="6" t="str">
        <f>"卖出"</f>
        <v>卖出</v>
      </c>
      <c r="F82" s="8">
        <v>31.009</v>
      </c>
      <c r="G82" s="6">
        <v>-17943</v>
      </c>
      <c r="H82" s="6">
        <v>556390.85</v>
      </c>
    </row>
    <row r="83" spans="1:8" s="9" customFormat="1" x14ac:dyDescent="0.15">
      <c r="A83" s="10" t="str">
        <f>"20160512"</f>
        <v>20160512</v>
      </c>
      <c r="B83" s="11">
        <v>0.47493055555555558</v>
      </c>
      <c r="C83" s="10" t="str">
        <f>"002106"</f>
        <v>002106</v>
      </c>
      <c r="D83" s="10" t="str">
        <f>"莱宝高科"</f>
        <v>莱宝高科</v>
      </c>
      <c r="E83" s="10" t="str">
        <f>"买入"</f>
        <v>买入</v>
      </c>
      <c r="F83" s="12">
        <v>10.53</v>
      </c>
      <c r="G83" s="10">
        <v>52500</v>
      </c>
      <c r="H83" s="10">
        <v>552806</v>
      </c>
    </row>
    <row r="84" spans="1:8" s="9" customFormat="1" x14ac:dyDescent="0.15">
      <c r="A84" s="6" t="str">
        <f>"20160513"</f>
        <v>20160513</v>
      </c>
      <c r="B84" s="7">
        <v>0.3963888888888889</v>
      </c>
      <c r="C84" s="6" t="str">
        <f>"002106"</f>
        <v>002106</v>
      </c>
      <c r="D84" s="6" t="str">
        <f>"莱宝高科"</f>
        <v>莱宝高科</v>
      </c>
      <c r="E84" s="6" t="str">
        <f>"卖出"</f>
        <v>卖出</v>
      </c>
      <c r="F84" s="8">
        <v>10.693</v>
      </c>
      <c r="G84" s="6">
        <v>-52500</v>
      </c>
      <c r="H84" s="6">
        <v>561393</v>
      </c>
    </row>
    <row r="85" spans="1:8" s="9" customFormat="1" x14ac:dyDescent="0.15">
      <c r="A85" s="10" t="str">
        <f>"20160513"</f>
        <v>20160513</v>
      </c>
      <c r="B85" s="11">
        <v>0.42914351851851856</v>
      </c>
      <c r="C85" s="10" t="str">
        <f>"002709"</f>
        <v>002709</v>
      </c>
      <c r="D85" s="10" t="str">
        <f>"天赐材料"</f>
        <v>天赐材料</v>
      </c>
      <c r="E85" s="10" t="str">
        <f>"买入"</f>
        <v>买入</v>
      </c>
      <c r="F85" s="12">
        <v>59.23</v>
      </c>
      <c r="G85" s="10">
        <v>9500</v>
      </c>
      <c r="H85" s="10">
        <v>562685</v>
      </c>
    </row>
    <row r="86" spans="1:8" s="9" customFormat="1" x14ac:dyDescent="0.15">
      <c r="A86" s="6" t="str">
        <f>"20160516"</f>
        <v>20160516</v>
      </c>
      <c r="B86" s="7">
        <v>0.42900462962962965</v>
      </c>
      <c r="C86" s="6" t="str">
        <f>"002709"</f>
        <v>002709</v>
      </c>
      <c r="D86" s="6" t="str">
        <f>"天赐材料"</f>
        <v>天赐材料</v>
      </c>
      <c r="E86" s="6" t="str">
        <f>"卖出"</f>
        <v>卖出</v>
      </c>
      <c r="F86" s="8">
        <v>57.18</v>
      </c>
      <c r="G86" s="6">
        <v>-9500</v>
      </c>
      <c r="H86" s="6">
        <v>543210</v>
      </c>
    </row>
    <row r="87" spans="1:8" s="9" customFormat="1" x14ac:dyDescent="0.15">
      <c r="A87" s="10" t="str">
        <f>"20160516"</f>
        <v>20160516</v>
      </c>
      <c r="B87" s="11">
        <v>0.43893518518518521</v>
      </c>
      <c r="C87" s="10" t="str">
        <f t="shared" ref="C87:C95" si="8">"300481"</f>
        <v>300481</v>
      </c>
      <c r="D87" s="10" t="str">
        <f t="shared" ref="D87:D95" si="9">"濮阳惠成"</f>
        <v>濮阳惠成</v>
      </c>
      <c r="E87" s="10" t="str">
        <f>"买入"</f>
        <v>买入</v>
      </c>
      <c r="F87" s="12">
        <v>85.8</v>
      </c>
      <c r="G87" s="10">
        <v>6300</v>
      </c>
      <c r="H87" s="10">
        <v>540540</v>
      </c>
    </row>
    <row r="88" spans="1:8" s="9" customFormat="1" x14ac:dyDescent="0.15">
      <c r="A88" s="6" t="str">
        <f>"20160517"</f>
        <v>20160517</v>
      </c>
      <c r="B88" s="7">
        <v>0.39640046296296294</v>
      </c>
      <c r="C88" s="6" t="str">
        <f t="shared" si="8"/>
        <v>300481</v>
      </c>
      <c r="D88" s="6" t="str">
        <f t="shared" si="9"/>
        <v>濮阳惠成</v>
      </c>
      <c r="E88" s="6" t="str">
        <f>"卖出"</f>
        <v>卖出</v>
      </c>
      <c r="F88" s="8">
        <v>45.87</v>
      </c>
      <c r="G88" s="6">
        <v>-12600</v>
      </c>
      <c r="H88" s="6">
        <v>577962</v>
      </c>
    </row>
    <row r="89" spans="1:8" s="9" customFormat="1" x14ac:dyDescent="0.15">
      <c r="A89" s="10" t="str">
        <f>"20160517"</f>
        <v>20160517</v>
      </c>
      <c r="B89" s="11">
        <v>0.39719907407407407</v>
      </c>
      <c r="C89" s="10" t="str">
        <f t="shared" si="8"/>
        <v>300481</v>
      </c>
      <c r="D89" s="10" t="str">
        <f t="shared" si="9"/>
        <v>濮阳惠成</v>
      </c>
      <c r="E89" s="10" t="str">
        <f>"买入"</f>
        <v>买入</v>
      </c>
      <c r="F89" s="12">
        <v>45</v>
      </c>
      <c r="G89" s="10">
        <v>12800</v>
      </c>
      <c r="H89" s="10">
        <v>576000</v>
      </c>
    </row>
    <row r="90" spans="1:8" s="9" customFormat="1" x14ac:dyDescent="0.15">
      <c r="A90" s="6" t="str">
        <f>"20160518"</f>
        <v>20160518</v>
      </c>
      <c r="B90" s="7">
        <v>0.40046296296296297</v>
      </c>
      <c r="C90" s="6" t="str">
        <f t="shared" si="8"/>
        <v>300481</v>
      </c>
      <c r="D90" s="6" t="str">
        <f t="shared" si="9"/>
        <v>濮阳惠成</v>
      </c>
      <c r="E90" s="6" t="str">
        <f>"卖出"</f>
        <v>卖出</v>
      </c>
      <c r="F90" s="8">
        <v>42.710999999999999</v>
      </c>
      <c r="G90" s="6">
        <v>-12800</v>
      </c>
      <c r="H90" s="6">
        <v>546704</v>
      </c>
    </row>
    <row r="91" spans="1:8" s="9" customFormat="1" x14ac:dyDescent="0.15">
      <c r="A91" s="10" t="str">
        <f>"20160518"</f>
        <v>20160518</v>
      </c>
      <c r="B91" s="11">
        <v>0.41658564814814819</v>
      </c>
      <c r="C91" s="10" t="str">
        <f t="shared" si="8"/>
        <v>300481</v>
      </c>
      <c r="D91" s="10" t="str">
        <f t="shared" si="9"/>
        <v>濮阳惠成</v>
      </c>
      <c r="E91" s="10" t="str">
        <f>"买入"</f>
        <v>买入</v>
      </c>
      <c r="F91" s="12">
        <v>42.1</v>
      </c>
      <c r="G91" s="10">
        <v>13000</v>
      </c>
      <c r="H91" s="10">
        <v>547300</v>
      </c>
    </row>
    <row r="92" spans="1:8" s="9" customFormat="1" x14ac:dyDescent="0.15">
      <c r="A92" s="6" t="str">
        <f>"20160519"</f>
        <v>20160519</v>
      </c>
      <c r="B92" s="7">
        <v>0.39618055555555554</v>
      </c>
      <c r="C92" s="6" t="str">
        <f t="shared" si="8"/>
        <v>300481</v>
      </c>
      <c r="D92" s="6" t="str">
        <f t="shared" si="9"/>
        <v>濮阳惠成</v>
      </c>
      <c r="E92" s="6" t="str">
        <f>"卖出"</f>
        <v>卖出</v>
      </c>
      <c r="F92" s="8">
        <v>46.829000000000001</v>
      </c>
      <c r="G92" s="6">
        <v>-13000</v>
      </c>
      <c r="H92" s="6">
        <v>608783</v>
      </c>
    </row>
    <row r="93" spans="1:8" s="9" customFormat="1" x14ac:dyDescent="0.15">
      <c r="A93" s="10" t="str">
        <f>"20160519"</f>
        <v>20160519</v>
      </c>
      <c r="B93" s="11">
        <v>0.39717592592592593</v>
      </c>
      <c r="C93" s="10" t="str">
        <f t="shared" si="8"/>
        <v>300481</v>
      </c>
      <c r="D93" s="10" t="str">
        <f t="shared" si="9"/>
        <v>濮阳惠成</v>
      </c>
      <c r="E93" s="10" t="str">
        <f>"买入"</f>
        <v>买入</v>
      </c>
      <c r="F93" s="12">
        <v>46</v>
      </c>
      <c r="G93" s="10">
        <v>13100</v>
      </c>
      <c r="H93" s="10">
        <v>602600</v>
      </c>
    </row>
    <row r="94" spans="1:8" s="9" customFormat="1" x14ac:dyDescent="0.15">
      <c r="A94" s="10" t="str">
        <f>"20160519"</f>
        <v>20160519</v>
      </c>
      <c r="B94" s="11">
        <v>0.39741898148148147</v>
      </c>
      <c r="C94" s="10" t="str">
        <f t="shared" si="8"/>
        <v>300481</v>
      </c>
      <c r="D94" s="10" t="str">
        <f t="shared" si="9"/>
        <v>濮阳惠成</v>
      </c>
      <c r="E94" s="10" t="str">
        <f>"买入"</f>
        <v>买入</v>
      </c>
      <c r="F94" s="12">
        <v>46.05</v>
      </c>
      <c r="G94" s="10">
        <v>200</v>
      </c>
      <c r="H94" s="10">
        <v>9210</v>
      </c>
    </row>
    <row r="95" spans="1:8" s="9" customFormat="1" x14ac:dyDescent="0.15">
      <c r="A95" s="6" t="str">
        <f>"20160520"</f>
        <v>20160520</v>
      </c>
      <c r="B95" s="7">
        <v>0.3979861111111111</v>
      </c>
      <c r="C95" s="6" t="str">
        <f t="shared" si="8"/>
        <v>300481</v>
      </c>
      <c r="D95" s="6" t="str">
        <f t="shared" si="9"/>
        <v>濮阳惠成</v>
      </c>
      <c r="E95" s="6" t="str">
        <f>"卖出"</f>
        <v>卖出</v>
      </c>
      <c r="F95" s="8">
        <v>51.607999999999997</v>
      </c>
      <c r="G95" s="6">
        <v>-13300</v>
      </c>
      <c r="H95" s="6">
        <v>686380.93</v>
      </c>
    </row>
    <row r="96" spans="1:8" s="9" customFormat="1" x14ac:dyDescent="0.15">
      <c r="A96" s="10" t="str">
        <f>"20160520"</f>
        <v>20160520</v>
      </c>
      <c r="B96" s="11">
        <v>0.40723379629629625</v>
      </c>
      <c r="C96" s="10" t="str">
        <f>"002786"</f>
        <v>002786</v>
      </c>
      <c r="D96" s="10" t="str">
        <f>"银宝山新"</f>
        <v>银宝山新</v>
      </c>
      <c r="E96" s="10" t="str">
        <f>"买入"</f>
        <v>买入</v>
      </c>
      <c r="F96" s="12">
        <v>69.989999999999995</v>
      </c>
      <c r="G96" s="10">
        <v>2200</v>
      </c>
      <c r="H96" s="10">
        <v>153978</v>
      </c>
    </row>
    <row r="97" spans="1:8" s="9" customFormat="1" x14ac:dyDescent="0.15">
      <c r="A97" s="10" t="str">
        <f>"20160520"</f>
        <v>20160520</v>
      </c>
      <c r="B97" s="11">
        <v>0.40759259259259256</v>
      </c>
      <c r="C97" s="10" t="str">
        <f>"002786"</f>
        <v>002786</v>
      </c>
      <c r="D97" s="10" t="str">
        <f>"银宝山新"</f>
        <v>银宝山新</v>
      </c>
      <c r="E97" s="10" t="str">
        <f>"买入"</f>
        <v>买入</v>
      </c>
      <c r="F97" s="12">
        <v>70.197000000000003</v>
      </c>
      <c r="G97" s="10">
        <v>6200</v>
      </c>
      <c r="H97" s="10">
        <v>435223</v>
      </c>
    </row>
    <row r="98" spans="1:8" s="9" customFormat="1" x14ac:dyDescent="0.15">
      <c r="A98" s="10" t="str">
        <f>"20160520"</f>
        <v>20160520</v>
      </c>
      <c r="B98" s="11">
        <v>0.41017361111111111</v>
      </c>
      <c r="C98" s="10" t="str">
        <f>"002786"</f>
        <v>002786</v>
      </c>
      <c r="D98" s="10" t="str">
        <f>"银宝山新"</f>
        <v>银宝山新</v>
      </c>
      <c r="E98" s="10" t="str">
        <f>"买入"</f>
        <v>买入</v>
      </c>
      <c r="F98" s="12">
        <v>69.968000000000004</v>
      </c>
      <c r="G98" s="10">
        <v>1300</v>
      </c>
      <c r="H98" s="10">
        <v>90958</v>
      </c>
    </row>
    <row r="99" spans="1:8" s="9" customFormat="1" x14ac:dyDescent="0.15">
      <c r="A99" s="6" t="str">
        <f>"20160523"</f>
        <v>20160523</v>
      </c>
      <c r="B99" s="7">
        <v>0.45354166666666668</v>
      </c>
      <c r="C99" s="6" t="str">
        <f>"002786"</f>
        <v>002786</v>
      </c>
      <c r="D99" s="6" t="str">
        <f>"银宝山新"</f>
        <v>银宝山新</v>
      </c>
      <c r="E99" s="6" t="str">
        <f>"卖出"</f>
        <v>卖出</v>
      </c>
      <c r="F99" s="8">
        <v>74.573999999999998</v>
      </c>
      <c r="G99" s="6">
        <v>-9700</v>
      </c>
      <c r="H99" s="6">
        <v>723368</v>
      </c>
    </row>
    <row r="100" spans="1:8" s="9" customFormat="1" x14ac:dyDescent="0.15">
      <c r="A100" s="10" t="str">
        <f>"20160523"</f>
        <v>20160523</v>
      </c>
      <c r="B100" s="11">
        <v>0.45394675925925926</v>
      </c>
      <c r="C100" s="10" t="str">
        <f>"300340"</f>
        <v>300340</v>
      </c>
      <c r="D100" s="10" t="str">
        <f>"科恒股份"</f>
        <v>科恒股份</v>
      </c>
      <c r="E100" s="10" t="str">
        <f>"买入"</f>
        <v>买入</v>
      </c>
      <c r="F100" s="12">
        <v>44</v>
      </c>
      <c r="G100" s="10">
        <v>5000</v>
      </c>
      <c r="H100" s="10">
        <v>220000</v>
      </c>
    </row>
    <row r="101" spans="1:8" s="9" customFormat="1" x14ac:dyDescent="0.15">
      <c r="A101" s="10" t="str">
        <f>"20160523"</f>
        <v>20160523</v>
      </c>
      <c r="B101" s="11">
        <v>0.45407407407407407</v>
      </c>
      <c r="C101" s="10" t="str">
        <f>"300340"</f>
        <v>300340</v>
      </c>
      <c r="D101" s="10" t="str">
        <f>"科恒股份"</f>
        <v>科恒股份</v>
      </c>
      <c r="E101" s="10" t="str">
        <f>"买入"</f>
        <v>买入</v>
      </c>
      <c r="F101" s="12">
        <v>43.985999999999997</v>
      </c>
      <c r="G101" s="10">
        <v>1500</v>
      </c>
      <c r="H101" s="10">
        <v>65979</v>
      </c>
    </row>
    <row r="102" spans="1:8" s="9" customFormat="1" x14ac:dyDescent="0.15">
      <c r="A102" s="10" t="str">
        <f>"20160523"</f>
        <v>20160523</v>
      </c>
      <c r="B102" s="11">
        <v>0.45604166666666668</v>
      </c>
      <c r="C102" s="10" t="str">
        <f>"300340"</f>
        <v>300340</v>
      </c>
      <c r="D102" s="10" t="str">
        <f>"科恒股份"</f>
        <v>科恒股份</v>
      </c>
      <c r="E102" s="10" t="str">
        <f>"买入"</f>
        <v>买入</v>
      </c>
      <c r="F102" s="12">
        <v>43.828000000000003</v>
      </c>
      <c r="G102" s="10">
        <v>10000</v>
      </c>
      <c r="H102" s="10">
        <v>438283</v>
      </c>
    </row>
    <row r="103" spans="1:8" s="9" customFormat="1" x14ac:dyDescent="0.15">
      <c r="A103" s="6" t="str">
        <f>"20160524"</f>
        <v>20160524</v>
      </c>
      <c r="B103" s="7">
        <v>0.41888888888888887</v>
      </c>
      <c r="C103" s="6" t="str">
        <f>"300340"</f>
        <v>300340</v>
      </c>
      <c r="D103" s="6" t="str">
        <f>"科恒股份"</f>
        <v>科恒股份</v>
      </c>
      <c r="E103" s="6" t="str">
        <f>"卖出"</f>
        <v>卖出</v>
      </c>
      <c r="F103" s="8">
        <v>46.1</v>
      </c>
      <c r="G103" s="6">
        <v>-16500</v>
      </c>
      <c r="H103" s="6">
        <v>760650</v>
      </c>
    </row>
    <row r="104" spans="1:8" s="9" customFormat="1" x14ac:dyDescent="0.15">
      <c r="A104" s="10" t="str">
        <f>"20160524"</f>
        <v>20160524</v>
      </c>
      <c r="B104" s="11">
        <v>0.42922453703703706</v>
      </c>
      <c r="C104" s="10" t="str">
        <f>"300510"</f>
        <v>300510</v>
      </c>
      <c r="D104" s="10" t="str">
        <f>"金冠电气"</f>
        <v>金冠电气</v>
      </c>
      <c r="E104" s="10" t="str">
        <f>"买入"</f>
        <v>买入</v>
      </c>
      <c r="F104" s="12">
        <v>51.493000000000002</v>
      </c>
      <c r="G104" s="10">
        <v>14700</v>
      </c>
      <c r="H104" s="10">
        <v>756950</v>
      </c>
    </row>
    <row r="105" spans="1:8" s="9" customFormat="1" x14ac:dyDescent="0.15">
      <c r="A105" s="6" t="str">
        <f>"20160525"</f>
        <v>20160525</v>
      </c>
      <c r="B105" s="7">
        <v>0.40072916666666664</v>
      </c>
      <c r="C105" s="6" t="str">
        <f>"300510"</f>
        <v>300510</v>
      </c>
      <c r="D105" s="6" t="str">
        <f>"金冠电气"</f>
        <v>金冠电气</v>
      </c>
      <c r="E105" s="6" t="str">
        <f>"卖出"</f>
        <v>卖出</v>
      </c>
      <c r="F105" s="8">
        <v>50.62</v>
      </c>
      <c r="G105" s="6">
        <v>-14700</v>
      </c>
      <c r="H105" s="6">
        <v>744120</v>
      </c>
    </row>
    <row r="106" spans="1:8" s="9" customFormat="1" x14ac:dyDescent="0.15">
      <c r="A106" s="10" t="str">
        <f>"20160525"</f>
        <v>20160525</v>
      </c>
      <c r="B106" s="11">
        <v>0.40310185185185188</v>
      </c>
      <c r="C106" s="10" t="str">
        <f>"002782"</f>
        <v>002782</v>
      </c>
      <c r="D106" s="10" t="str">
        <f>"可立克"</f>
        <v>可立克</v>
      </c>
      <c r="E106" s="10" t="str">
        <f>"买入"</f>
        <v>买入</v>
      </c>
      <c r="F106" s="12">
        <v>58.746000000000002</v>
      </c>
      <c r="G106" s="10">
        <v>12600</v>
      </c>
      <c r="H106" s="10">
        <v>740201</v>
      </c>
    </row>
    <row r="107" spans="1:8" s="9" customFormat="1" x14ac:dyDescent="0.15">
      <c r="A107" s="6" t="str">
        <f>"20160526"</f>
        <v>20160526</v>
      </c>
      <c r="B107" s="7">
        <v>0.40307870370370374</v>
      </c>
      <c r="C107" s="6" t="str">
        <f>"002782"</f>
        <v>002782</v>
      </c>
      <c r="D107" s="6" t="str">
        <f>"可立克"</f>
        <v>可立克</v>
      </c>
      <c r="E107" s="6" t="str">
        <f>"卖出"</f>
        <v>卖出</v>
      </c>
      <c r="F107" s="8">
        <v>57</v>
      </c>
      <c r="G107" s="6">
        <v>-5700</v>
      </c>
      <c r="H107" s="6">
        <v>324900</v>
      </c>
    </row>
    <row r="108" spans="1:8" s="9" customFormat="1" x14ac:dyDescent="0.15">
      <c r="A108" s="6" t="str">
        <f>"20160526"</f>
        <v>20160526</v>
      </c>
      <c r="B108" s="7">
        <v>0.40353009259259259</v>
      </c>
      <c r="C108" s="6" t="str">
        <f>"002782"</f>
        <v>002782</v>
      </c>
      <c r="D108" s="6" t="str">
        <f>"可立克"</f>
        <v>可立克</v>
      </c>
      <c r="E108" s="6" t="str">
        <f>"卖出"</f>
        <v>卖出</v>
      </c>
      <c r="F108" s="8">
        <v>56.7</v>
      </c>
      <c r="G108" s="6">
        <v>-6900</v>
      </c>
      <c r="H108" s="6">
        <v>391230</v>
      </c>
    </row>
    <row r="109" spans="1:8" s="9" customFormat="1" x14ac:dyDescent="0.15">
      <c r="A109" s="10" t="str">
        <f>"20160526"</f>
        <v>20160526</v>
      </c>
      <c r="B109" s="11">
        <v>0.46305555555555555</v>
      </c>
      <c r="C109" s="10" t="str">
        <f>"300162"</f>
        <v>300162</v>
      </c>
      <c r="D109" s="10" t="str">
        <f>"雷曼股份"</f>
        <v>雷曼股份</v>
      </c>
      <c r="E109" s="10" t="str">
        <f>"买入"</f>
        <v>买入</v>
      </c>
      <c r="F109" s="12">
        <v>21.89</v>
      </c>
      <c r="G109" s="10">
        <v>32900</v>
      </c>
      <c r="H109" s="10">
        <v>720181</v>
      </c>
    </row>
    <row r="110" spans="1:8" s="9" customFormat="1" x14ac:dyDescent="0.15">
      <c r="A110" s="6" t="str">
        <f>"20160527"</f>
        <v>20160527</v>
      </c>
      <c r="B110" s="7">
        <v>0.57785879629629633</v>
      </c>
      <c r="C110" s="6" t="str">
        <f>"300162"</f>
        <v>300162</v>
      </c>
      <c r="D110" s="6" t="str">
        <f>"雷曼股份"</f>
        <v>雷曼股份</v>
      </c>
      <c r="E110" s="6" t="str">
        <f>"卖出"</f>
        <v>卖出</v>
      </c>
      <c r="F110" s="8">
        <v>22.78</v>
      </c>
      <c r="G110" s="6">
        <v>-26651</v>
      </c>
      <c r="H110" s="6">
        <v>607119.78</v>
      </c>
    </row>
    <row r="111" spans="1:8" s="9" customFormat="1" x14ac:dyDescent="0.15">
      <c r="A111" s="10" t="str">
        <f>"20160527"</f>
        <v>20160527</v>
      </c>
      <c r="B111" s="11">
        <v>0.57956018518518515</v>
      </c>
      <c r="C111" s="10" t="str">
        <f>"300476"</f>
        <v>300476</v>
      </c>
      <c r="D111" s="10" t="str">
        <f>"胜宏科技"</f>
        <v>胜宏科技</v>
      </c>
      <c r="E111" s="10" t="str">
        <f>"买入"</f>
        <v>买入</v>
      </c>
      <c r="F111" s="12">
        <v>26.045999999999999</v>
      </c>
      <c r="G111" s="10">
        <v>14450</v>
      </c>
      <c r="H111" s="10">
        <v>376362.5</v>
      </c>
    </row>
    <row r="112" spans="1:8" s="9" customFormat="1" x14ac:dyDescent="0.15">
      <c r="A112" s="10" t="str">
        <f>"20160527"</f>
        <v>20160527</v>
      </c>
      <c r="B112" s="11">
        <v>0.5798726851851852</v>
      </c>
      <c r="C112" s="10" t="str">
        <f>"300476"</f>
        <v>300476</v>
      </c>
      <c r="D112" s="10" t="str">
        <f>"胜宏科技"</f>
        <v>胜宏科技</v>
      </c>
      <c r="E112" s="10" t="str">
        <f>"买入"</f>
        <v>买入</v>
      </c>
      <c r="F112" s="12">
        <v>26.113</v>
      </c>
      <c r="G112" s="10">
        <v>8800</v>
      </c>
      <c r="H112" s="10">
        <v>229796</v>
      </c>
    </row>
    <row r="113" spans="1:8" s="9" customFormat="1" x14ac:dyDescent="0.15">
      <c r="A113" s="6" t="str">
        <f>"20160527"</f>
        <v>20160527</v>
      </c>
      <c r="B113" s="7">
        <v>0.58003472222222219</v>
      </c>
      <c r="C113" s="6" t="str">
        <f>"300162"</f>
        <v>300162</v>
      </c>
      <c r="D113" s="6" t="str">
        <f>"雷曼股份"</f>
        <v>雷曼股份</v>
      </c>
      <c r="E113" s="6" t="str">
        <f>"卖出"</f>
        <v>卖出</v>
      </c>
      <c r="F113" s="8">
        <v>22.655000000000001</v>
      </c>
      <c r="G113" s="6">
        <v>-6249</v>
      </c>
      <c r="H113" s="6">
        <v>141573.85</v>
      </c>
    </row>
    <row r="114" spans="1:8" s="9" customFormat="1" x14ac:dyDescent="0.15">
      <c r="A114" s="10" t="str">
        <f>"20160527"</f>
        <v>20160527</v>
      </c>
      <c r="B114" s="11">
        <v>0.58047453703703711</v>
      </c>
      <c r="C114" s="10" t="str">
        <f>"300476"</f>
        <v>300476</v>
      </c>
      <c r="D114" s="10" t="str">
        <f>"胜宏科技"</f>
        <v>胜宏科技</v>
      </c>
      <c r="E114" s="10" t="str">
        <f>"买入"</f>
        <v>买入</v>
      </c>
      <c r="F114" s="12">
        <v>26.18</v>
      </c>
      <c r="G114" s="10">
        <v>5400</v>
      </c>
      <c r="H114" s="10">
        <v>141373</v>
      </c>
    </row>
    <row r="115" spans="1:8" s="9" customFormat="1" x14ac:dyDescent="0.15">
      <c r="A115" s="6" t="str">
        <f t="shared" ref="A115:A119" si="10">"20160530"</f>
        <v>20160530</v>
      </c>
      <c r="B115" s="7">
        <v>0.45703703703703707</v>
      </c>
      <c r="C115" s="6" t="str">
        <f>"300476"</f>
        <v>300476</v>
      </c>
      <c r="D115" s="6" t="str">
        <f>"胜宏科技"</f>
        <v>胜宏科技</v>
      </c>
      <c r="E115" s="6" t="str">
        <f>"卖出"</f>
        <v>卖出</v>
      </c>
      <c r="F115" s="8">
        <v>26.45</v>
      </c>
      <c r="G115" s="6">
        <v>-28650</v>
      </c>
      <c r="H115" s="6">
        <v>757792.5</v>
      </c>
    </row>
    <row r="116" spans="1:8" s="9" customFormat="1" x14ac:dyDescent="0.15">
      <c r="A116" s="10" t="str">
        <f t="shared" si="10"/>
        <v>20160530</v>
      </c>
      <c r="B116" s="11">
        <v>0.46354166666666669</v>
      </c>
      <c r="C116" s="10" t="str">
        <f>"002795"</f>
        <v>002795</v>
      </c>
      <c r="D116" s="10" t="str">
        <f>"永和智控"</f>
        <v>永和智控</v>
      </c>
      <c r="E116" s="10" t="str">
        <f>"买入"</f>
        <v>买入</v>
      </c>
      <c r="F116" s="12">
        <v>50.2</v>
      </c>
      <c r="G116" s="10">
        <v>200</v>
      </c>
      <c r="H116" s="10">
        <v>10040</v>
      </c>
    </row>
    <row r="117" spans="1:8" s="9" customFormat="1" x14ac:dyDescent="0.15">
      <c r="A117" s="10" t="str">
        <f t="shared" si="10"/>
        <v>20160530</v>
      </c>
      <c r="B117" s="11">
        <v>0.46376157407407409</v>
      </c>
      <c r="C117" s="10" t="str">
        <f>"002795"</f>
        <v>002795</v>
      </c>
      <c r="D117" s="10" t="str">
        <f>"永和智控"</f>
        <v>永和智控</v>
      </c>
      <c r="E117" s="10" t="str">
        <f>"买入"</f>
        <v>买入</v>
      </c>
      <c r="F117" s="12">
        <v>50.6</v>
      </c>
      <c r="G117" s="10">
        <v>5100</v>
      </c>
      <c r="H117" s="10">
        <v>258060</v>
      </c>
    </row>
    <row r="118" spans="1:8" s="9" customFormat="1" x14ac:dyDescent="0.15">
      <c r="A118" s="10" t="str">
        <f t="shared" si="10"/>
        <v>20160530</v>
      </c>
      <c r="B118" s="11">
        <v>0.46642361111111108</v>
      </c>
      <c r="C118" s="10" t="str">
        <f>"300506"</f>
        <v>300506</v>
      </c>
      <c r="D118" s="10" t="str">
        <f>"名家汇"</f>
        <v>名家汇</v>
      </c>
      <c r="E118" s="10" t="str">
        <f>"买入"</f>
        <v>买入</v>
      </c>
      <c r="F118" s="12">
        <v>43</v>
      </c>
      <c r="G118" s="10">
        <v>10200</v>
      </c>
      <c r="H118" s="10">
        <v>438600</v>
      </c>
    </row>
    <row r="119" spans="1:8" s="9" customFormat="1" x14ac:dyDescent="0.15">
      <c r="A119" s="10" t="str">
        <f t="shared" si="10"/>
        <v>20160530</v>
      </c>
      <c r="B119" s="11">
        <v>0.46732638888888883</v>
      </c>
      <c r="C119" s="10" t="str">
        <f>"300506"</f>
        <v>300506</v>
      </c>
      <c r="D119" s="10" t="str">
        <f>"名家汇"</f>
        <v>名家汇</v>
      </c>
      <c r="E119" s="10" t="str">
        <f>"买入"</f>
        <v>买入</v>
      </c>
      <c r="F119" s="12">
        <v>43.192999999999998</v>
      </c>
      <c r="G119" s="10">
        <v>1100</v>
      </c>
      <c r="H119" s="10">
        <v>47512</v>
      </c>
    </row>
    <row r="120" spans="1:8" s="9" customFormat="1" x14ac:dyDescent="0.15">
      <c r="A120" s="6" t="str">
        <f>"20160531"</f>
        <v>20160531</v>
      </c>
      <c r="B120" s="7">
        <v>0.39675925925925926</v>
      </c>
      <c r="C120" s="6" t="str">
        <f>"300506"</f>
        <v>300506</v>
      </c>
      <c r="D120" s="6" t="str">
        <f>"名家汇"</f>
        <v>名家汇</v>
      </c>
      <c r="E120" s="6" t="str">
        <f>"卖出"</f>
        <v>卖出</v>
      </c>
      <c r="F120" s="8">
        <v>42.887</v>
      </c>
      <c r="G120" s="6">
        <v>-11300</v>
      </c>
      <c r="H120" s="6">
        <v>484625</v>
      </c>
    </row>
    <row r="121" spans="1:8" s="9" customFormat="1" x14ac:dyDescent="0.15">
      <c r="A121" s="6" t="str">
        <f>"20160531"</f>
        <v>20160531</v>
      </c>
      <c r="B121" s="7">
        <v>0.39687500000000003</v>
      </c>
      <c r="C121" s="6" t="str">
        <f>"002795"</f>
        <v>002795</v>
      </c>
      <c r="D121" s="6" t="str">
        <f>"永和智控"</f>
        <v>永和智控</v>
      </c>
      <c r="E121" s="6" t="str">
        <f>"卖出"</f>
        <v>卖出</v>
      </c>
      <c r="F121" s="8">
        <v>51.801000000000002</v>
      </c>
      <c r="G121" s="6">
        <v>-5300</v>
      </c>
      <c r="H121" s="6">
        <v>274546</v>
      </c>
    </row>
    <row r="122" spans="1:8" s="9" customFormat="1" x14ac:dyDescent="0.15">
      <c r="A122" s="10" t="str">
        <f>"20160531"</f>
        <v>20160531</v>
      </c>
      <c r="B122" s="11">
        <v>0.40038194444444447</v>
      </c>
      <c r="C122" s="10" t="str">
        <f>"002786"</f>
        <v>002786</v>
      </c>
      <c r="D122" s="10" t="str">
        <f>"银宝山新"</f>
        <v>银宝山新</v>
      </c>
      <c r="E122" s="10" t="str">
        <f>"买入"</f>
        <v>买入</v>
      </c>
      <c r="F122" s="12">
        <v>25.5</v>
      </c>
      <c r="G122" s="10">
        <v>16000</v>
      </c>
      <c r="H122" s="10">
        <v>408000</v>
      </c>
    </row>
    <row r="123" spans="1:8" s="9" customFormat="1" x14ac:dyDescent="0.15">
      <c r="A123" s="10" t="str">
        <f>"20160531"</f>
        <v>20160531</v>
      </c>
      <c r="B123" s="11">
        <v>0.40114583333333331</v>
      </c>
      <c r="C123" s="10" t="str">
        <f>"002786"</f>
        <v>002786</v>
      </c>
      <c r="D123" s="10" t="str">
        <f>"银宝山新"</f>
        <v>银宝山新</v>
      </c>
      <c r="E123" s="10" t="str">
        <f>"买入"</f>
        <v>买入</v>
      </c>
      <c r="F123" s="12">
        <v>25.87</v>
      </c>
      <c r="G123" s="10">
        <v>13500</v>
      </c>
      <c r="H123" s="10">
        <v>349244</v>
      </c>
    </row>
    <row r="124" spans="1:8" s="9" customFormat="1" x14ac:dyDescent="0.15">
      <c r="A124" s="10" t="str">
        <f>"20160531"</f>
        <v>20160531</v>
      </c>
      <c r="B124" s="11">
        <v>0.40134259259259258</v>
      </c>
      <c r="C124" s="10" t="str">
        <f>"002786"</f>
        <v>002786</v>
      </c>
      <c r="D124" s="10" t="str">
        <f>"银宝山新"</f>
        <v>银宝山新</v>
      </c>
      <c r="E124" s="10" t="str">
        <f>"买入"</f>
        <v>买入</v>
      </c>
      <c r="F124" s="12">
        <v>25.95</v>
      </c>
      <c r="G124" s="10">
        <v>100</v>
      </c>
      <c r="H124" s="10">
        <v>2595</v>
      </c>
    </row>
    <row r="125" spans="1:8" s="9" customFormat="1" x14ac:dyDescent="0.15">
      <c r="A125" s="6" t="str">
        <f>"20160601"</f>
        <v>20160601</v>
      </c>
      <c r="B125" s="7">
        <v>0.40856481481481483</v>
      </c>
      <c r="C125" s="6" t="str">
        <f>"002786"</f>
        <v>002786</v>
      </c>
      <c r="D125" s="6" t="str">
        <f>"银宝山新"</f>
        <v>银宝山新</v>
      </c>
      <c r="E125" s="6" t="str">
        <f>"卖出"</f>
        <v>卖出</v>
      </c>
      <c r="F125" s="8">
        <v>27.414000000000001</v>
      </c>
      <c r="G125" s="6">
        <v>-29600</v>
      </c>
      <c r="H125" s="6">
        <v>811441</v>
      </c>
    </row>
    <row r="126" spans="1:8" s="9" customFormat="1" x14ac:dyDescent="0.15">
      <c r="A126" s="10" t="str">
        <f>"20160601"</f>
        <v>20160601</v>
      </c>
      <c r="B126" s="11">
        <v>0.42108796296296297</v>
      </c>
      <c r="C126" s="10" t="str">
        <f>"002786"</f>
        <v>002786</v>
      </c>
      <c r="D126" s="10" t="str">
        <f>"银宝山新"</f>
        <v>银宝山新</v>
      </c>
      <c r="E126" s="10" t="str">
        <f>"买入"</f>
        <v>买入</v>
      </c>
      <c r="F126" s="12">
        <v>26.847999999999999</v>
      </c>
      <c r="G126" s="10">
        <v>30100</v>
      </c>
      <c r="H126" s="10">
        <v>808134</v>
      </c>
    </row>
    <row r="127" spans="1:8" s="9" customFormat="1" x14ac:dyDescent="0.15">
      <c r="A127" s="10" t="str">
        <f>"20160602"</f>
        <v>20160602</v>
      </c>
      <c r="B127" s="11">
        <v>0.42225694444444445</v>
      </c>
      <c r="C127" s="10" t="str">
        <f>"600058"</f>
        <v>600058</v>
      </c>
      <c r="D127" s="10" t="str">
        <f>"五矿发展"</f>
        <v>五矿发展</v>
      </c>
      <c r="E127" s="10" t="str">
        <f>"买入"</f>
        <v>买入</v>
      </c>
      <c r="F127" s="12">
        <v>20.02</v>
      </c>
      <c r="G127" s="10">
        <v>34422</v>
      </c>
      <c r="H127" s="10">
        <v>689137.22</v>
      </c>
    </row>
    <row r="128" spans="1:8" s="9" customFormat="1" x14ac:dyDescent="0.15">
      <c r="A128" s="10" t="str">
        <f>"20160602"</f>
        <v>20160602</v>
      </c>
      <c r="B128" s="11">
        <v>0.42282407407407407</v>
      </c>
      <c r="C128" s="10" t="str">
        <f>"600058"</f>
        <v>600058</v>
      </c>
      <c r="D128" s="10" t="str">
        <f>"五矿发展"</f>
        <v>五矿发展</v>
      </c>
      <c r="E128" s="10" t="str">
        <f>"买入"</f>
        <v>买入</v>
      </c>
      <c r="F128" s="12">
        <v>20.11</v>
      </c>
      <c r="G128" s="10">
        <v>12200</v>
      </c>
      <c r="H128" s="10">
        <v>245342</v>
      </c>
    </row>
    <row r="129" spans="1:8" s="9" customFormat="1" x14ac:dyDescent="0.15">
      <c r="A129" s="6" t="str">
        <f>"20160602"</f>
        <v>20160602</v>
      </c>
      <c r="B129" s="7">
        <v>0.41340277777777779</v>
      </c>
      <c r="C129" s="6" t="str">
        <f>"002786"</f>
        <v>002786</v>
      </c>
      <c r="D129" s="6" t="str">
        <f>"银宝山新"</f>
        <v>银宝山新</v>
      </c>
      <c r="E129" s="6" t="str">
        <f>"卖出"</f>
        <v>卖出</v>
      </c>
      <c r="F129" s="8">
        <v>31.007999999999999</v>
      </c>
      <c r="G129" s="6">
        <v>-30100</v>
      </c>
      <c r="H129" s="6">
        <v>933334.98</v>
      </c>
    </row>
    <row r="130" spans="1:8" s="9" customFormat="1" x14ac:dyDescent="0.15">
      <c r="A130" s="6" t="str">
        <f>"20160603"</f>
        <v>20160603</v>
      </c>
      <c r="B130" s="7">
        <v>0.39624999999999999</v>
      </c>
      <c r="C130" s="6" t="str">
        <f>"600058"</f>
        <v>600058</v>
      </c>
      <c r="D130" s="6" t="str">
        <f>"五矿发展"</f>
        <v>五矿发展</v>
      </c>
      <c r="E130" s="6" t="str">
        <f>"卖出"</f>
        <v>卖出</v>
      </c>
      <c r="F130" s="8">
        <v>20.506</v>
      </c>
      <c r="G130" s="6">
        <v>-46622</v>
      </c>
      <c r="H130" s="6">
        <v>956048</v>
      </c>
    </row>
    <row r="131" spans="1:8" s="9" customFormat="1" x14ac:dyDescent="0.15">
      <c r="A131" s="10" t="str">
        <f>"20160603"</f>
        <v>20160603</v>
      </c>
      <c r="B131" s="11">
        <v>0.3979166666666667</v>
      </c>
      <c r="C131" s="10" t="str">
        <f>"002782"</f>
        <v>002782</v>
      </c>
      <c r="D131" s="10" t="str">
        <f>"可立克"</f>
        <v>可立克</v>
      </c>
      <c r="E131" s="10" t="str">
        <f>"买入"</f>
        <v>买入</v>
      </c>
      <c r="F131" s="12">
        <v>73.8</v>
      </c>
      <c r="G131" s="10">
        <v>12800</v>
      </c>
      <c r="H131" s="10">
        <v>944640</v>
      </c>
    </row>
    <row r="132" spans="1:8" s="9" customFormat="1" x14ac:dyDescent="0.15">
      <c r="A132" s="10" t="str">
        <f>"20160603"</f>
        <v>20160603</v>
      </c>
      <c r="B132" s="11">
        <v>0.39817129629629627</v>
      </c>
      <c r="C132" s="10" t="str">
        <f>"002782"</f>
        <v>002782</v>
      </c>
      <c r="D132" s="10" t="str">
        <f>"可立克"</f>
        <v>可立克</v>
      </c>
      <c r="E132" s="10" t="str">
        <f>"买入"</f>
        <v>买入</v>
      </c>
      <c r="F132" s="12">
        <v>73.5</v>
      </c>
      <c r="G132" s="10">
        <v>100</v>
      </c>
      <c r="H132" s="10">
        <v>7350</v>
      </c>
    </row>
    <row r="133" spans="1:8" s="9" customFormat="1" x14ac:dyDescent="0.15">
      <c r="A133" s="6" t="str">
        <f t="shared" ref="A133:A147" si="11">"20160606"</f>
        <v>20160606</v>
      </c>
      <c r="B133" s="7">
        <v>0.41562499999999997</v>
      </c>
      <c r="C133" s="6" t="str">
        <f>"002782"</f>
        <v>002782</v>
      </c>
      <c r="D133" s="6" t="str">
        <f>"可立克"</f>
        <v>可立克</v>
      </c>
      <c r="E133" s="6" t="str">
        <f>"卖出"</f>
        <v>卖出</v>
      </c>
      <c r="F133" s="8">
        <v>77.043999999999997</v>
      </c>
      <c r="G133" s="6">
        <v>-12900</v>
      </c>
      <c r="H133" s="6">
        <v>993874</v>
      </c>
    </row>
    <row r="134" spans="1:8" s="9" customFormat="1" x14ac:dyDescent="0.15">
      <c r="A134" s="10" t="str">
        <f t="shared" si="11"/>
        <v>20160606</v>
      </c>
      <c r="B134" s="11">
        <v>0.42246527777777776</v>
      </c>
      <c r="C134" s="10" t="str">
        <f t="shared" ref="C134:C148" si="12">"300459"</f>
        <v>300459</v>
      </c>
      <c r="D134" s="10" t="str">
        <f t="shared" ref="D134:D148" si="13">"浙江金科"</f>
        <v>浙江金科</v>
      </c>
      <c r="E134" s="10" t="str">
        <f t="shared" ref="E134:E147" si="14">"买入"</f>
        <v>买入</v>
      </c>
      <c r="F134" s="12">
        <v>30.413</v>
      </c>
      <c r="G134" s="10">
        <v>2600</v>
      </c>
      <c r="H134" s="10">
        <v>79074</v>
      </c>
    </row>
    <row r="135" spans="1:8" s="9" customFormat="1" x14ac:dyDescent="0.15">
      <c r="A135" s="10" t="str">
        <f t="shared" si="11"/>
        <v>20160606</v>
      </c>
      <c r="B135" s="11">
        <v>0.42261574074074071</v>
      </c>
      <c r="C135" s="10" t="str">
        <f t="shared" si="12"/>
        <v>300459</v>
      </c>
      <c r="D135" s="10" t="str">
        <f t="shared" si="13"/>
        <v>浙江金科</v>
      </c>
      <c r="E135" s="10" t="str">
        <f t="shared" si="14"/>
        <v>买入</v>
      </c>
      <c r="F135" s="12">
        <v>30.4</v>
      </c>
      <c r="G135" s="10">
        <v>3000</v>
      </c>
      <c r="H135" s="10">
        <v>91200</v>
      </c>
    </row>
    <row r="136" spans="1:8" s="9" customFormat="1" x14ac:dyDescent="0.15">
      <c r="A136" s="10" t="str">
        <f t="shared" si="11"/>
        <v>20160606</v>
      </c>
      <c r="B136" s="11">
        <v>0.42274305555555558</v>
      </c>
      <c r="C136" s="10" t="str">
        <f t="shared" si="12"/>
        <v>300459</v>
      </c>
      <c r="D136" s="10" t="str">
        <f t="shared" si="13"/>
        <v>浙江金科</v>
      </c>
      <c r="E136" s="10" t="str">
        <f t="shared" si="14"/>
        <v>买入</v>
      </c>
      <c r="F136" s="12">
        <v>30.4</v>
      </c>
      <c r="G136" s="10">
        <v>4500</v>
      </c>
      <c r="H136" s="10">
        <v>136800</v>
      </c>
    </row>
    <row r="137" spans="1:8" s="9" customFormat="1" x14ac:dyDescent="0.15">
      <c r="A137" s="10" t="str">
        <f t="shared" si="11"/>
        <v>20160606</v>
      </c>
      <c r="B137" s="11">
        <v>0.42288194444444444</v>
      </c>
      <c r="C137" s="10" t="str">
        <f t="shared" si="12"/>
        <v>300459</v>
      </c>
      <c r="D137" s="10" t="str">
        <f t="shared" si="13"/>
        <v>浙江金科</v>
      </c>
      <c r="E137" s="10" t="str">
        <f t="shared" si="14"/>
        <v>买入</v>
      </c>
      <c r="F137" s="12">
        <v>30.393000000000001</v>
      </c>
      <c r="G137" s="10">
        <v>2600</v>
      </c>
      <c r="H137" s="10">
        <v>79021</v>
      </c>
    </row>
    <row r="138" spans="1:8" s="9" customFormat="1" x14ac:dyDescent="0.15">
      <c r="A138" s="10" t="str">
        <f t="shared" si="11"/>
        <v>20160606</v>
      </c>
      <c r="B138" s="11">
        <v>0.4230902777777778</v>
      </c>
      <c r="C138" s="10" t="str">
        <f t="shared" si="12"/>
        <v>300459</v>
      </c>
      <c r="D138" s="10" t="str">
        <f t="shared" si="13"/>
        <v>浙江金科</v>
      </c>
      <c r="E138" s="10" t="str">
        <f t="shared" si="14"/>
        <v>买入</v>
      </c>
      <c r="F138" s="12">
        <v>30.38</v>
      </c>
      <c r="G138" s="10">
        <v>2000</v>
      </c>
      <c r="H138" s="10">
        <v>60760</v>
      </c>
    </row>
    <row r="139" spans="1:8" s="9" customFormat="1" x14ac:dyDescent="0.15">
      <c r="A139" s="10" t="str">
        <f t="shared" si="11"/>
        <v>20160606</v>
      </c>
      <c r="B139" s="11">
        <v>0.42320601851851852</v>
      </c>
      <c r="C139" s="10" t="str">
        <f t="shared" si="12"/>
        <v>300459</v>
      </c>
      <c r="D139" s="10" t="str">
        <f t="shared" si="13"/>
        <v>浙江金科</v>
      </c>
      <c r="E139" s="10" t="str">
        <f t="shared" si="14"/>
        <v>买入</v>
      </c>
      <c r="F139" s="12">
        <v>30.38</v>
      </c>
      <c r="G139" s="10">
        <v>2000</v>
      </c>
      <c r="H139" s="10">
        <v>60760</v>
      </c>
    </row>
    <row r="140" spans="1:8" s="9" customFormat="1" x14ac:dyDescent="0.15">
      <c r="A140" s="10" t="str">
        <f t="shared" si="11"/>
        <v>20160606</v>
      </c>
      <c r="B140" s="11">
        <v>0.42335648148148147</v>
      </c>
      <c r="C140" s="10" t="str">
        <f t="shared" si="12"/>
        <v>300459</v>
      </c>
      <c r="D140" s="10" t="str">
        <f t="shared" si="13"/>
        <v>浙江金科</v>
      </c>
      <c r="E140" s="10" t="str">
        <f t="shared" si="14"/>
        <v>买入</v>
      </c>
      <c r="F140" s="12">
        <v>30.388999999999999</v>
      </c>
      <c r="G140" s="10">
        <v>2000</v>
      </c>
      <c r="H140" s="10">
        <v>60778</v>
      </c>
    </row>
    <row r="141" spans="1:8" s="9" customFormat="1" x14ac:dyDescent="0.15">
      <c r="A141" s="10" t="str">
        <f t="shared" si="11"/>
        <v>20160606</v>
      </c>
      <c r="B141" s="11">
        <v>0.42348379629629629</v>
      </c>
      <c r="C141" s="10" t="str">
        <f t="shared" si="12"/>
        <v>300459</v>
      </c>
      <c r="D141" s="10" t="str">
        <f t="shared" si="13"/>
        <v>浙江金科</v>
      </c>
      <c r="E141" s="10" t="str">
        <f t="shared" si="14"/>
        <v>买入</v>
      </c>
      <c r="F141" s="12">
        <v>30.38</v>
      </c>
      <c r="G141" s="10">
        <v>3000</v>
      </c>
      <c r="H141" s="10">
        <v>91140</v>
      </c>
    </row>
    <row r="142" spans="1:8" s="9" customFormat="1" x14ac:dyDescent="0.15">
      <c r="A142" s="10" t="str">
        <f t="shared" si="11"/>
        <v>20160606</v>
      </c>
      <c r="B142" s="11">
        <v>0.4236111111111111</v>
      </c>
      <c r="C142" s="10" t="str">
        <f t="shared" si="12"/>
        <v>300459</v>
      </c>
      <c r="D142" s="10" t="str">
        <f t="shared" si="13"/>
        <v>浙江金科</v>
      </c>
      <c r="E142" s="10" t="str">
        <f t="shared" si="14"/>
        <v>买入</v>
      </c>
      <c r="F142" s="12">
        <v>30.39</v>
      </c>
      <c r="G142" s="10">
        <v>1000</v>
      </c>
      <c r="H142" s="10">
        <v>30390</v>
      </c>
    </row>
    <row r="143" spans="1:8" s="9" customFormat="1" x14ac:dyDescent="0.15">
      <c r="A143" s="10" t="str">
        <f t="shared" si="11"/>
        <v>20160606</v>
      </c>
      <c r="B143" s="11">
        <v>0.42377314814814815</v>
      </c>
      <c r="C143" s="10" t="str">
        <f t="shared" si="12"/>
        <v>300459</v>
      </c>
      <c r="D143" s="10" t="str">
        <f t="shared" si="13"/>
        <v>浙江金科</v>
      </c>
      <c r="E143" s="10" t="str">
        <f t="shared" si="14"/>
        <v>买入</v>
      </c>
      <c r="F143" s="12">
        <v>30.39</v>
      </c>
      <c r="G143" s="10">
        <v>2000</v>
      </c>
      <c r="H143" s="10">
        <v>60780</v>
      </c>
    </row>
    <row r="144" spans="1:8" s="9" customFormat="1" x14ac:dyDescent="0.15">
      <c r="A144" s="10" t="str">
        <f t="shared" si="11"/>
        <v>20160606</v>
      </c>
      <c r="B144" s="11">
        <v>0.42387731481481478</v>
      </c>
      <c r="C144" s="10" t="str">
        <f t="shared" si="12"/>
        <v>300459</v>
      </c>
      <c r="D144" s="10" t="str">
        <f t="shared" si="13"/>
        <v>浙江金科</v>
      </c>
      <c r="E144" s="10" t="str">
        <f t="shared" si="14"/>
        <v>买入</v>
      </c>
      <c r="F144" s="12">
        <v>30.4</v>
      </c>
      <c r="G144" s="10">
        <v>2000</v>
      </c>
      <c r="H144" s="10">
        <v>60800</v>
      </c>
    </row>
    <row r="145" spans="1:8" s="9" customFormat="1" x14ac:dyDescent="0.15">
      <c r="A145" s="10" t="str">
        <f t="shared" si="11"/>
        <v>20160606</v>
      </c>
      <c r="B145" s="11">
        <v>0.42398148148148151</v>
      </c>
      <c r="C145" s="10" t="str">
        <f t="shared" si="12"/>
        <v>300459</v>
      </c>
      <c r="D145" s="10" t="str">
        <f t="shared" si="13"/>
        <v>浙江金科</v>
      </c>
      <c r="E145" s="10" t="str">
        <f t="shared" si="14"/>
        <v>买入</v>
      </c>
      <c r="F145" s="12">
        <v>30.4</v>
      </c>
      <c r="G145" s="10">
        <v>2000</v>
      </c>
      <c r="H145" s="10">
        <v>60800</v>
      </c>
    </row>
    <row r="146" spans="1:8" s="9" customFormat="1" x14ac:dyDescent="0.15">
      <c r="A146" s="10" t="str">
        <f t="shared" si="11"/>
        <v>20160606</v>
      </c>
      <c r="B146" s="11">
        <v>0.42416666666666664</v>
      </c>
      <c r="C146" s="10" t="str">
        <f t="shared" si="12"/>
        <v>300459</v>
      </c>
      <c r="D146" s="10" t="str">
        <f t="shared" si="13"/>
        <v>浙江金科</v>
      </c>
      <c r="E146" s="10" t="str">
        <f t="shared" si="14"/>
        <v>买入</v>
      </c>
      <c r="F146" s="12">
        <v>30.387</v>
      </c>
      <c r="G146" s="10">
        <v>2000</v>
      </c>
      <c r="H146" s="10">
        <v>60774</v>
      </c>
    </row>
    <row r="147" spans="1:8" s="9" customFormat="1" x14ac:dyDescent="0.15">
      <c r="A147" s="10" t="str">
        <f t="shared" si="11"/>
        <v>20160606</v>
      </c>
      <c r="B147" s="11">
        <v>0.42436342592592591</v>
      </c>
      <c r="C147" s="10" t="str">
        <f t="shared" si="12"/>
        <v>300459</v>
      </c>
      <c r="D147" s="10" t="str">
        <f t="shared" si="13"/>
        <v>浙江金科</v>
      </c>
      <c r="E147" s="10" t="str">
        <f t="shared" si="14"/>
        <v>买入</v>
      </c>
      <c r="F147" s="12">
        <v>30.38</v>
      </c>
      <c r="G147" s="10">
        <v>2000</v>
      </c>
      <c r="H147" s="10">
        <v>60760</v>
      </c>
    </row>
    <row r="148" spans="1:8" s="9" customFormat="1" x14ac:dyDescent="0.15">
      <c r="A148" s="6" t="str">
        <f>"20160607"</f>
        <v>20160607</v>
      </c>
      <c r="B148" s="7">
        <v>0.43398148148148147</v>
      </c>
      <c r="C148" s="6" t="str">
        <f t="shared" si="12"/>
        <v>300459</v>
      </c>
      <c r="D148" s="6" t="str">
        <f t="shared" si="13"/>
        <v>浙江金科</v>
      </c>
      <c r="E148" s="6" t="str">
        <f>"卖出"</f>
        <v>卖出</v>
      </c>
      <c r="F148" s="8">
        <v>29.100999999999999</v>
      </c>
      <c r="G148" s="6">
        <v>-32700</v>
      </c>
      <c r="H148" s="6">
        <v>951619</v>
      </c>
    </row>
    <row r="149" spans="1:8" s="9" customFormat="1" x14ac:dyDescent="0.15">
      <c r="A149" s="10" t="str">
        <f>"20160607"</f>
        <v>20160607</v>
      </c>
      <c r="B149" s="11">
        <v>0.55583333333333329</v>
      </c>
      <c r="C149" s="10" t="str">
        <f>"002782"</f>
        <v>002782</v>
      </c>
      <c r="D149" s="10" t="str">
        <f>"可立克"</f>
        <v>可立克</v>
      </c>
      <c r="E149" s="10" t="str">
        <f>"买入"</f>
        <v>买入</v>
      </c>
      <c r="F149" s="12">
        <v>91.076999999999998</v>
      </c>
      <c r="G149" s="10">
        <v>10400</v>
      </c>
      <c r="H149" s="10">
        <v>947202</v>
      </c>
    </row>
    <row r="150" spans="1:8" s="9" customFormat="1" x14ac:dyDescent="0.15">
      <c r="A150" s="10" t="str">
        <f t="shared" ref="A150:A155" si="15">"20160608"</f>
        <v>20160608</v>
      </c>
      <c r="B150" s="11">
        <v>0.46256944444444442</v>
      </c>
      <c r="C150" s="10" t="str">
        <f>"603339"</f>
        <v>603339</v>
      </c>
      <c r="D150" s="10" t="str">
        <f>"四方冷链"</f>
        <v>四方冷链</v>
      </c>
      <c r="E150" s="10" t="str">
        <f t="shared" ref="E150:E154" si="16">"买入"</f>
        <v>买入</v>
      </c>
      <c r="F150" s="12">
        <v>54.993000000000002</v>
      </c>
      <c r="G150" s="10">
        <v>5500</v>
      </c>
      <c r="H150" s="10">
        <v>302462</v>
      </c>
    </row>
    <row r="151" spans="1:8" s="9" customFormat="1" x14ac:dyDescent="0.15">
      <c r="A151" s="10" t="str">
        <f t="shared" si="15"/>
        <v>20160608</v>
      </c>
      <c r="B151" s="11">
        <v>0.46303240740740742</v>
      </c>
      <c r="C151" s="10" t="str">
        <f>"603339"</f>
        <v>603339</v>
      </c>
      <c r="D151" s="10" t="str">
        <f>"四方冷链"</f>
        <v>四方冷链</v>
      </c>
      <c r="E151" s="10" t="str">
        <f t="shared" si="16"/>
        <v>买入</v>
      </c>
      <c r="F151" s="12">
        <v>55.2</v>
      </c>
      <c r="G151" s="10">
        <v>3000</v>
      </c>
      <c r="H151" s="10">
        <v>165600</v>
      </c>
    </row>
    <row r="152" spans="1:8" s="9" customFormat="1" x14ac:dyDescent="0.15">
      <c r="A152" s="10" t="str">
        <f t="shared" si="15"/>
        <v>20160608</v>
      </c>
      <c r="B152" s="11">
        <v>0.46336805555555555</v>
      </c>
      <c r="C152" s="10" t="str">
        <f>"603339"</f>
        <v>603339</v>
      </c>
      <c r="D152" s="10" t="str">
        <f>"四方冷链"</f>
        <v>四方冷链</v>
      </c>
      <c r="E152" s="10" t="str">
        <f t="shared" si="16"/>
        <v>买入</v>
      </c>
      <c r="F152" s="12">
        <v>55.22</v>
      </c>
      <c r="G152" s="10">
        <v>5000</v>
      </c>
      <c r="H152" s="10">
        <v>276100</v>
      </c>
    </row>
    <row r="153" spans="1:8" s="9" customFormat="1" x14ac:dyDescent="0.15">
      <c r="A153" s="10" t="str">
        <f t="shared" si="15"/>
        <v>20160608</v>
      </c>
      <c r="B153" s="11">
        <v>0.46388888888888885</v>
      </c>
      <c r="C153" s="10" t="str">
        <f>"603339"</f>
        <v>603339</v>
      </c>
      <c r="D153" s="10" t="str">
        <f>"四方冷链"</f>
        <v>四方冷链</v>
      </c>
      <c r="E153" s="10" t="str">
        <f t="shared" si="16"/>
        <v>买入</v>
      </c>
      <c r="F153" s="12">
        <v>55.4</v>
      </c>
      <c r="G153" s="10">
        <v>300</v>
      </c>
      <c r="H153" s="10">
        <v>16620</v>
      </c>
    </row>
    <row r="154" spans="1:8" s="9" customFormat="1" x14ac:dyDescent="0.15">
      <c r="A154" s="10" t="str">
        <f t="shared" si="15"/>
        <v>20160608</v>
      </c>
      <c r="B154" s="11">
        <v>0.46415509259259258</v>
      </c>
      <c r="C154" s="10" t="str">
        <f>"603339"</f>
        <v>603339</v>
      </c>
      <c r="D154" s="10" t="str">
        <f>"四方冷链"</f>
        <v>四方冷链</v>
      </c>
      <c r="E154" s="10" t="str">
        <f t="shared" si="16"/>
        <v>买入</v>
      </c>
      <c r="F154" s="12">
        <v>55.5</v>
      </c>
      <c r="G154" s="10">
        <v>4600</v>
      </c>
      <c r="H154" s="10">
        <v>255300</v>
      </c>
    </row>
    <row r="155" spans="1:8" s="9" customFormat="1" x14ac:dyDescent="0.15">
      <c r="A155" s="6" t="str">
        <f t="shared" si="15"/>
        <v>20160608</v>
      </c>
      <c r="B155" s="7">
        <v>0.4039814814814815</v>
      </c>
      <c r="C155" s="6" t="str">
        <f>"002782"</f>
        <v>002782</v>
      </c>
      <c r="D155" s="6" t="str">
        <f>"可立克"</f>
        <v>可立克</v>
      </c>
      <c r="E155" s="6" t="str">
        <f>"卖出"</f>
        <v>卖出</v>
      </c>
      <c r="F155" s="8">
        <v>39.200000000000003</v>
      </c>
      <c r="G155" s="6">
        <v>-26000</v>
      </c>
      <c r="H155" s="6">
        <v>1019200</v>
      </c>
    </row>
    <row r="156" spans="1:8" s="9" customFormat="1" x14ac:dyDescent="0.15">
      <c r="A156" s="6" t="str">
        <f t="shared" ref="A156:A164" si="17">"20160613"</f>
        <v>20160613</v>
      </c>
      <c r="B156" s="7">
        <v>0.42182870370370368</v>
      </c>
      <c r="C156" s="6" t="str">
        <f>"603339"</f>
        <v>603339</v>
      </c>
      <c r="D156" s="6" t="str">
        <f>"四方冷链"</f>
        <v>四方冷链</v>
      </c>
      <c r="E156" s="6" t="str">
        <f>"卖出"</f>
        <v>卖出</v>
      </c>
      <c r="F156" s="8">
        <v>51.503</v>
      </c>
      <c r="G156" s="6">
        <v>-18400</v>
      </c>
      <c r="H156" s="6">
        <v>947663.14</v>
      </c>
    </row>
    <row r="157" spans="1:8" s="9" customFormat="1" x14ac:dyDescent="0.15">
      <c r="A157" s="10" t="str">
        <f t="shared" si="17"/>
        <v>20160613</v>
      </c>
      <c r="B157" s="11">
        <v>0.44618055555555558</v>
      </c>
      <c r="C157" s="10" t="str">
        <f t="shared" ref="C157:C164" si="18">"300508"</f>
        <v>300508</v>
      </c>
      <c r="D157" s="10" t="str">
        <f t="shared" ref="D157:D164" si="19">"维宏股份"</f>
        <v>维宏股份</v>
      </c>
      <c r="E157" s="10" t="str">
        <f t="shared" ref="E157:E164" si="20">"买入"</f>
        <v>买入</v>
      </c>
      <c r="F157" s="12">
        <v>163.80000000000001</v>
      </c>
      <c r="G157" s="10">
        <v>100</v>
      </c>
      <c r="H157" s="10">
        <v>16380</v>
      </c>
    </row>
    <row r="158" spans="1:8" s="9" customFormat="1" x14ac:dyDescent="0.15">
      <c r="A158" s="10" t="str">
        <f t="shared" si="17"/>
        <v>20160613</v>
      </c>
      <c r="B158" s="11">
        <v>0.44957175925925924</v>
      </c>
      <c r="C158" s="10" t="str">
        <f t="shared" si="18"/>
        <v>300508</v>
      </c>
      <c r="D158" s="10" t="str">
        <f t="shared" si="19"/>
        <v>维宏股份</v>
      </c>
      <c r="E158" s="10" t="str">
        <f t="shared" si="20"/>
        <v>买入</v>
      </c>
      <c r="F158" s="12">
        <v>164.3</v>
      </c>
      <c r="G158" s="10">
        <v>600</v>
      </c>
      <c r="H158" s="10">
        <v>98580</v>
      </c>
    </row>
    <row r="159" spans="1:8" s="9" customFormat="1" x14ac:dyDescent="0.15">
      <c r="A159" s="10" t="str">
        <f t="shared" si="17"/>
        <v>20160613</v>
      </c>
      <c r="B159" s="11">
        <v>0.44971064814814815</v>
      </c>
      <c r="C159" s="10" t="str">
        <f t="shared" si="18"/>
        <v>300508</v>
      </c>
      <c r="D159" s="10" t="str">
        <f t="shared" si="19"/>
        <v>维宏股份</v>
      </c>
      <c r="E159" s="10" t="str">
        <f t="shared" si="20"/>
        <v>买入</v>
      </c>
      <c r="F159" s="12">
        <v>164.3</v>
      </c>
      <c r="G159" s="10">
        <v>300</v>
      </c>
      <c r="H159" s="10">
        <v>49290</v>
      </c>
    </row>
    <row r="160" spans="1:8" s="9" customFormat="1" x14ac:dyDescent="0.15">
      <c r="A160" s="10" t="str">
        <f t="shared" si="17"/>
        <v>20160613</v>
      </c>
      <c r="B160" s="11">
        <v>0.44988425925925929</v>
      </c>
      <c r="C160" s="10" t="str">
        <f t="shared" si="18"/>
        <v>300508</v>
      </c>
      <c r="D160" s="10" t="str">
        <f t="shared" si="19"/>
        <v>维宏股份</v>
      </c>
      <c r="E160" s="10" t="str">
        <f t="shared" si="20"/>
        <v>买入</v>
      </c>
      <c r="F160" s="12">
        <v>164.227</v>
      </c>
      <c r="G160" s="10">
        <v>300</v>
      </c>
      <c r="H160" s="10">
        <v>49268</v>
      </c>
    </row>
    <row r="161" spans="1:8" s="9" customFormat="1" x14ac:dyDescent="0.15">
      <c r="A161" s="10" t="str">
        <f t="shared" si="17"/>
        <v>20160613</v>
      </c>
      <c r="B161" s="11">
        <v>0.45049768518518518</v>
      </c>
      <c r="C161" s="10" t="str">
        <f t="shared" si="18"/>
        <v>300508</v>
      </c>
      <c r="D161" s="10" t="str">
        <f t="shared" si="19"/>
        <v>维宏股份</v>
      </c>
      <c r="E161" s="10" t="str">
        <f t="shared" si="20"/>
        <v>买入</v>
      </c>
      <c r="F161" s="12">
        <v>164.39</v>
      </c>
      <c r="G161" s="10">
        <v>900</v>
      </c>
      <c r="H161" s="10">
        <v>147951</v>
      </c>
    </row>
    <row r="162" spans="1:8" s="9" customFormat="1" x14ac:dyDescent="0.15">
      <c r="A162" s="10" t="str">
        <f t="shared" si="17"/>
        <v>20160613</v>
      </c>
      <c r="B162" s="11">
        <v>0.45065972222222223</v>
      </c>
      <c r="C162" s="10" t="str">
        <f t="shared" si="18"/>
        <v>300508</v>
      </c>
      <c r="D162" s="10" t="str">
        <f t="shared" si="19"/>
        <v>维宏股份</v>
      </c>
      <c r="E162" s="10" t="str">
        <f t="shared" si="20"/>
        <v>买入</v>
      </c>
      <c r="F162" s="12">
        <v>164.5</v>
      </c>
      <c r="G162" s="10">
        <v>2000</v>
      </c>
      <c r="H162" s="10">
        <v>328999</v>
      </c>
    </row>
    <row r="163" spans="1:8" s="9" customFormat="1" x14ac:dyDescent="0.15">
      <c r="A163" s="10" t="str">
        <f t="shared" si="17"/>
        <v>20160613</v>
      </c>
      <c r="B163" s="11">
        <v>0.45166666666666666</v>
      </c>
      <c r="C163" s="10" t="str">
        <f t="shared" si="18"/>
        <v>300508</v>
      </c>
      <c r="D163" s="10" t="str">
        <f t="shared" si="19"/>
        <v>维宏股份</v>
      </c>
      <c r="E163" s="10" t="str">
        <f t="shared" si="20"/>
        <v>买入</v>
      </c>
      <c r="F163" s="12">
        <v>164.98</v>
      </c>
      <c r="G163" s="10">
        <v>900</v>
      </c>
      <c r="H163" s="10">
        <v>148482</v>
      </c>
    </row>
    <row r="164" spans="1:8" s="9" customFormat="1" x14ac:dyDescent="0.15">
      <c r="A164" s="10" t="str">
        <f t="shared" si="17"/>
        <v>20160613</v>
      </c>
      <c r="B164" s="11">
        <v>0.4523726851851852</v>
      </c>
      <c r="C164" s="10" t="str">
        <f t="shared" si="18"/>
        <v>300508</v>
      </c>
      <c r="D164" s="10" t="str">
        <f t="shared" si="19"/>
        <v>维宏股份</v>
      </c>
      <c r="E164" s="10" t="str">
        <f t="shared" si="20"/>
        <v>买入</v>
      </c>
      <c r="F164" s="12">
        <v>165.7</v>
      </c>
      <c r="G164" s="10">
        <v>600</v>
      </c>
      <c r="H164" s="10">
        <v>99420</v>
      </c>
    </row>
    <row r="165" spans="1:8" s="9" customFormat="1" x14ac:dyDescent="0.15">
      <c r="A165" s="6" t="str">
        <f>"20160614"</f>
        <v>20160614</v>
      </c>
      <c r="B165" s="7">
        <v>0.39812500000000001</v>
      </c>
      <c r="C165" s="6" t="str">
        <f>"300508"</f>
        <v>300508</v>
      </c>
      <c r="D165" s="6" t="str">
        <f>"维宏股份"</f>
        <v>维宏股份</v>
      </c>
      <c r="E165" s="6" t="str">
        <f>"卖出"</f>
        <v>卖出</v>
      </c>
      <c r="F165" s="8">
        <v>159.589</v>
      </c>
      <c r="G165" s="6">
        <v>-5700</v>
      </c>
      <c r="H165" s="6">
        <v>909658</v>
      </c>
    </row>
    <row r="166" spans="1:8" s="9" customFormat="1" x14ac:dyDescent="0.15">
      <c r="A166" s="10" t="str">
        <f>"20160614"</f>
        <v>20160614</v>
      </c>
      <c r="B166" s="11">
        <v>0.40494212962962961</v>
      </c>
      <c r="C166" s="10" t="str">
        <f>"300508"</f>
        <v>300508</v>
      </c>
      <c r="D166" s="10" t="str">
        <f>"维宏股份"</f>
        <v>维宏股份</v>
      </c>
      <c r="E166" s="10" t="str">
        <f>"买入"</f>
        <v>买入</v>
      </c>
      <c r="F166" s="12">
        <v>158.578</v>
      </c>
      <c r="G166" s="10">
        <v>5000</v>
      </c>
      <c r="H166" s="10">
        <v>792892</v>
      </c>
    </row>
    <row r="167" spans="1:8" s="9" customFormat="1" x14ac:dyDescent="0.15">
      <c r="A167" s="10" t="str">
        <f>"20160614"</f>
        <v>20160614</v>
      </c>
      <c r="B167" s="11">
        <v>0.40563657407407411</v>
      </c>
      <c r="C167" s="10" t="str">
        <f>"300508"</f>
        <v>300508</v>
      </c>
      <c r="D167" s="10" t="str">
        <f>"维宏股份"</f>
        <v>维宏股份</v>
      </c>
      <c r="E167" s="10" t="str">
        <f>"买入"</f>
        <v>买入</v>
      </c>
      <c r="F167" s="12">
        <v>160.4</v>
      </c>
      <c r="G167" s="10">
        <v>700</v>
      </c>
      <c r="H167" s="10">
        <v>112280</v>
      </c>
    </row>
    <row r="168" spans="1:8" s="9" customFormat="1" x14ac:dyDescent="0.15">
      <c r="A168" s="6" t="str">
        <f>"20160616"</f>
        <v>20160616</v>
      </c>
      <c r="B168" s="7">
        <v>0.61767361111111108</v>
      </c>
      <c r="C168" s="6" t="str">
        <f>"300508"</f>
        <v>300508</v>
      </c>
      <c r="D168" s="6" t="str">
        <f>"维宏股份"</f>
        <v>维宏股份</v>
      </c>
      <c r="E168" s="6" t="str">
        <f>"卖出"</f>
        <v>卖出</v>
      </c>
      <c r="F168" s="8">
        <v>173.48</v>
      </c>
      <c r="G168" s="6">
        <v>-5700</v>
      </c>
      <c r="H168" s="6">
        <v>988836</v>
      </c>
    </row>
    <row r="169" spans="1:8" s="9" customFormat="1" x14ac:dyDescent="0.15">
      <c r="A169" s="10" t="str">
        <f>"20160616"</f>
        <v>20160616</v>
      </c>
      <c r="B169" s="11">
        <v>0.61888888888888893</v>
      </c>
      <c r="C169" s="10" t="str">
        <f>"300496"</f>
        <v>300496</v>
      </c>
      <c r="D169" s="10" t="str">
        <f>"中科创达"</f>
        <v>中科创达</v>
      </c>
      <c r="E169" s="10" t="str">
        <f>"买入"</f>
        <v>买入</v>
      </c>
      <c r="F169" s="12">
        <v>298.10700000000003</v>
      </c>
      <c r="G169" s="10">
        <v>3300</v>
      </c>
      <c r="H169" s="10">
        <v>983754</v>
      </c>
    </row>
    <row r="170" spans="1:8" s="9" customFormat="1" x14ac:dyDescent="0.15">
      <c r="A170" s="6" t="str">
        <f t="shared" ref="A170:A178" si="21">"20160617"</f>
        <v>20160617</v>
      </c>
      <c r="B170" s="7">
        <v>0.40865740740740741</v>
      </c>
      <c r="C170" s="6" t="str">
        <f>"300496"</f>
        <v>300496</v>
      </c>
      <c r="D170" s="6" t="str">
        <f>"中科创达"</f>
        <v>中科创达</v>
      </c>
      <c r="E170" s="6" t="str">
        <f>"卖出"</f>
        <v>卖出</v>
      </c>
      <c r="F170" s="8">
        <v>77.183999999999997</v>
      </c>
      <c r="G170" s="6">
        <v>-12899</v>
      </c>
      <c r="H170" s="6">
        <v>995590.58</v>
      </c>
    </row>
    <row r="171" spans="1:8" s="9" customFormat="1" x14ac:dyDescent="0.15">
      <c r="A171" s="10" t="str">
        <f t="shared" si="21"/>
        <v>20160617</v>
      </c>
      <c r="B171" s="11">
        <v>0.45165509259259262</v>
      </c>
      <c r="C171" s="10" t="str">
        <f t="shared" ref="C171:C179" si="22">"300491"</f>
        <v>300491</v>
      </c>
      <c r="D171" s="10" t="str">
        <f t="shared" ref="D171:D179" si="23">"通合科技"</f>
        <v>通合科技</v>
      </c>
      <c r="E171" s="10" t="str">
        <f t="shared" ref="E171:E178" si="24">"买入"</f>
        <v>买入</v>
      </c>
      <c r="F171" s="12">
        <v>121</v>
      </c>
      <c r="G171" s="10">
        <v>300</v>
      </c>
      <c r="H171" s="10">
        <v>36300</v>
      </c>
    </row>
    <row r="172" spans="1:8" s="9" customFormat="1" x14ac:dyDescent="0.15">
      <c r="A172" s="10" t="str">
        <f t="shared" si="21"/>
        <v>20160617</v>
      </c>
      <c r="B172" s="11">
        <v>0.45206018518518515</v>
      </c>
      <c r="C172" s="10" t="str">
        <f t="shared" si="22"/>
        <v>300491</v>
      </c>
      <c r="D172" s="10" t="str">
        <f t="shared" si="23"/>
        <v>通合科技</v>
      </c>
      <c r="E172" s="10" t="str">
        <f t="shared" si="24"/>
        <v>买入</v>
      </c>
      <c r="F172" s="12">
        <v>121</v>
      </c>
      <c r="G172" s="10">
        <v>2000</v>
      </c>
      <c r="H172" s="10">
        <v>241999</v>
      </c>
    </row>
    <row r="173" spans="1:8" s="9" customFormat="1" x14ac:dyDescent="0.15">
      <c r="A173" s="10" t="str">
        <f t="shared" si="21"/>
        <v>20160617</v>
      </c>
      <c r="B173" s="11">
        <v>0.45226851851851851</v>
      </c>
      <c r="C173" s="10" t="str">
        <f t="shared" si="22"/>
        <v>300491</v>
      </c>
      <c r="D173" s="10" t="str">
        <f t="shared" si="23"/>
        <v>通合科技</v>
      </c>
      <c r="E173" s="10" t="str">
        <f t="shared" si="24"/>
        <v>买入</v>
      </c>
      <c r="F173" s="12">
        <v>120.68</v>
      </c>
      <c r="G173" s="10">
        <v>800</v>
      </c>
      <c r="H173" s="10">
        <v>96544</v>
      </c>
    </row>
    <row r="174" spans="1:8" s="9" customFormat="1" x14ac:dyDescent="0.15">
      <c r="A174" s="10" t="str">
        <f t="shared" si="21"/>
        <v>20160617</v>
      </c>
      <c r="B174" s="11">
        <v>0.45278935185185182</v>
      </c>
      <c r="C174" s="10" t="str">
        <f t="shared" si="22"/>
        <v>300491</v>
      </c>
      <c r="D174" s="10" t="str">
        <f t="shared" si="23"/>
        <v>通合科技</v>
      </c>
      <c r="E174" s="10" t="str">
        <f t="shared" si="24"/>
        <v>买入</v>
      </c>
      <c r="F174" s="12">
        <v>121</v>
      </c>
      <c r="G174" s="10">
        <v>1200</v>
      </c>
      <c r="H174" s="10">
        <v>145200</v>
      </c>
    </row>
    <row r="175" spans="1:8" s="9" customFormat="1" x14ac:dyDescent="0.15">
      <c r="A175" s="10" t="str">
        <f t="shared" si="21"/>
        <v>20160617</v>
      </c>
      <c r="B175" s="11">
        <v>0.45333333333333337</v>
      </c>
      <c r="C175" s="10" t="str">
        <f t="shared" si="22"/>
        <v>300491</v>
      </c>
      <c r="D175" s="10" t="str">
        <f t="shared" si="23"/>
        <v>通合科技</v>
      </c>
      <c r="E175" s="10" t="str">
        <f t="shared" si="24"/>
        <v>买入</v>
      </c>
      <c r="F175" s="12">
        <v>120.99</v>
      </c>
      <c r="G175" s="10">
        <v>1200</v>
      </c>
      <c r="H175" s="10">
        <v>145188</v>
      </c>
    </row>
    <row r="176" spans="1:8" s="9" customFormat="1" x14ac:dyDescent="0.15">
      <c r="A176" s="10" t="str">
        <f t="shared" si="21"/>
        <v>20160617</v>
      </c>
      <c r="B176" s="11">
        <v>0.45383101851851854</v>
      </c>
      <c r="C176" s="10" t="str">
        <f t="shared" si="22"/>
        <v>300491</v>
      </c>
      <c r="D176" s="10" t="str">
        <f t="shared" si="23"/>
        <v>通合科技</v>
      </c>
      <c r="E176" s="10" t="str">
        <f t="shared" si="24"/>
        <v>买入</v>
      </c>
      <c r="F176" s="12">
        <v>121.48</v>
      </c>
      <c r="G176" s="10">
        <v>1600</v>
      </c>
      <c r="H176" s="10">
        <v>194368</v>
      </c>
    </row>
    <row r="177" spans="1:8" s="9" customFormat="1" x14ac:dyDescent="0.15">
      <c r="A177" s="10" t="str">
        <f t="shared" si="21"/>
        <v>20160617</v>
      </c>
      <c r="B177" s="11">
        <v>0.45420138888888889</v>
      </c>
      <c r="C177" s="10" t="str">
        <f t="shared" si="22"/>
        <v>300491</v>
      </c>
      <c r="D177" s="10" t="str">
        <f t="shared" si="23"/>
        <v>通合科技</v>
      </c>
      <c r="E177" s="10" t="str">
        <f t="shared" si="24"/>
        <v>买入</v>
      </c>
      <c r="F177" s="12">
        <v>121.2</v>
      </c>
      <c r="G177" s="10">
        <v>300</v>
      </c>
      <c r="H177" s="10">
        <v>36360</v>
      </c>
    </row>
    <row r="178" spans="1:8" s="9" customFormat="1" x14ac:dyDescent="0.15">
      <c r="A178" s="10" t="str">
        <f t="shared" si="21"/>
        <v>20160617</v>
      </c>
      <c r="B178" s="11">
        <v>0.45471064814814816</v>
      </c>
      <c r="C178" s="10" t="str">
        <f t="shared" si="22"/>
        <v>300491</v>
      </c>
      <c r="D178" s="10" t="str">
        <f t="shared" si="23"/>
        <v>通合科技</v>
      </c>
      <c r="E178" s="10" t="str">
        <f t="shared" si="24"/>
        <v>买入</v>
      </c>
      <c r="F178" s="12">
        <v>121.95</v>
      </c>
      <c r="G178" s="10">
        <v>900</v>
      </c>
      <c r="H178" s="10">
        <v>109755</v>
      </c>
    </row>
    <row r="179" spans="1:8" s="9" customFormat="1" x14ac:dyDescent="0.15">
      <c r="A179" s="6" t="str">
        <f t="shared" ref="A179:A185" si="25">"20160620"</f>
        <v>20160620</v>
      </c>
      <c r="B179" s="7">
        <v>0.55658564814814815</v>
      </c>
      <c r="C179" s="6" t="str">
        <f t="shared" si="22"/>
        <v>300491</v>
      </c>
      <c r="D179" s="6" t="str">
        <f t="shared" si="23"/>
        <v>通合科技</v>
      </c>
      <c r="E179" s="6" t="str">
        <f>"卖出"</f>
        <v>卖出</v>
      </c>
      <c r="F179" s="8">
        <v>126.895</v>
      </c>
      <c r="G179" s="6">
        <v>-8300</v>
      </c>
      <c r="H179" s="6">
        <v>1053227</v>
      </c>
    </row>
    <row r="180" spans="1:8" s="9" customFormat="1" x14ac:dyDescent="0.15">
      <c r="A180" s="10" t="str">
        <f t="shared" si="25"/>
        <v>20160620</v>
      </c>
      <c r="B180" s="11">
        <v>0.57378472222222221</v>
      </c>
      <c r="C180" s="10" t="str">
        <f t="shared" ref="C180:C186" si="26">"300496"</f>
        <v>300496</v>
      </c>
      <c r="D180" s="10" t="str">
        <f t="shared" ref="D180:D186" si="27">"中科创达"</f>
        <v>中科创达</v>
      </c>
      <c r="E180" s="10" t="str">
        <f t="shared" ref="E180:E185" si="28">"买入"</f>
        <v>买入</v>
      </c>
      <c r="F180" s="12">
        <v>73.849000000000004</v>
      </c>
      <c r="G180" s="10">
        <v>4300</v>
      </c>
      <c r="H180" s="10">
        <v>317551.56</v>
      </c>
    </row>
    <row r="181" spans="1:8" s="9" customFormat="1" x14ac:dyDescent="0.15">
      <c r="A181" s="10" t="str">
        <f t="shared" si="25"/>
        <v>20160620</v>
      </c>
      <c r="B181" s="11">
        <v>0.57429398148148147</v>
      </c>
      <c r="C181" s="10" t="str">
        <f t="shared" si="26"/>
        <v>300496</v>
      </c>
      <c r="D181" s="10" t="str">
        <f t="shared" si="27"/>
        <v>中科创达</v>
      </c>
      <c r="E181" s="10" t="str">
        <f t="shared" si="28"/>
        <v>买入</v>
      </c>
      <c r="F181" s="12">
        <v>73.828999999999994</v>
      </c>
      <c r="G181" s="10">
        <v>2000</v>
      </c>
      <c r="H181" s="10">
        <v>147657.48000000001</v>
      </c>
    </row>
    <row r="182" spans="1:8" s="9" customFormat="1" x14ac:dyDescent="0.15">
      <c r="A182" s="10" t="str">
        <f t="shared" si="25"/>
        <v>20160620</v>
      </c>
      <c r="B182" s="11">
        <v>0.5744097222222222</v>
      </c>
      <c r="C182" s="10" t="str">
        <f t="shared" si="26"/>
        <v>300496</v>
      </c>
      <c r="D182" s="10" t="str">
        <f t="shared" si="27"/>
        <v>中科创达</v>
      </c>
      <c r="E182" s="10" t="str">
        <f t="shared" si="28"/>
        <v>买入</v>
      </c>
      <c r="F182" s="12">
        <v>73.8</v>
      </c>
      <c r="G182" s="10">
        <v>2000</v>
      </c>
      <c r="H182" s="10">
        <v>147600</v>
      </c>
    </row>
    <row r="183" spans="1:8" s="9" customFormat="1" x14ac:dyDescent="0.15">
      <c r="A183" s="10" t="str">
        <f t="shared" si="25"/>
        <v>20160620</v>
      </c>
      <c r="B183" s="11">
        <v>0.57469907407407406</v>
      </c>
      <c r="C183" s="10" t="str">
        <f t="shared" si="26"/>
        <v>300496</v>
      </c>
      <c r="D183" s="10" t="str">
        <f t="shared" si="27"/>
        <v>中科创达</v>
      </c>
      <c r="E183" s="10" t="str">
        <f t="shared" si="28"/>
        <v>买入</v>
      </c>
      <c r="F183" s="12">
        <v>73.8</v>
      </c>
      <c r="G183" s="10">
        <v>2000</v>
      </c>
      <c r="H183" s="10">
        <v>147600</v>
      </c>
    </row>
    <row r="184" spans="1:8" s="9" customFormat="1" x14ac:dyDescent="0.15">
      <c r="A184" s="10" t="str">
        <f t="shared" si="25"/>
        <v>20160620</v>
      </c>
      <c r="B184" s="11">
        <v>0.57472222222222225</v>
      </c>
      <c r="C184" s="10" t="str">
        <f t="shared" si="26"/>
        <v>300496</v>
      </c>
      <c r="D184" s="10" t="str">
        <f t="shared" si="27"/>
        <v>中科创达</v>
      </c>
      <c r="E184" s="10" t="str">
        <f t="shared" si="28"/>
        <v>买入</v>
      </c>
      <c r="F184" s="12">
        <v>73.8</v>
      </c>
      <c r="G184" s="10">
        <v>2000</v>
      </c>
      <c r="H184" s="10">
        <v>147600</v>
      </c>
    </row>
    <row r="185" spans="1:8" s="9" customFormat="1" x14ac:dyDescent="0.15">
      <c r="A185" s="10" t="str">
        <f t="shared" si="25"/>
        <v>20160620</v>
      </c>
      <c r="B185" s="11">
        <v>0.57506944444444441</v>
      </c>
      <c r="C185" s="10" t="str">
        <f t="shared" si="26"/>
        <v>300496</v>
      </c>
      <c r="D185" s="10" t="str">
        <f t="shared" si="27"/>
        <v>中科创达</v>
      </c>
      <c r="E185" s="10" t="str">
        <f t="shared" si="28"/>
        <v>买入</v>
      </c>
      <c r="F185" s="12">
        <v>73.86</v>
      </c>
      <c r="G185" s="10">
        <v>2000</v>
      </c>
      <c r="H185" s="10">
        <v>147720</v>
      </c>
    </row>
    <row r="186" spans="1:8" s="9" customFormat="1" x14ac:dyDescent="0.15">
      <c r="A186" s="6" t="str">
        <f t="shared" ref="A186:A201" si="29">"20160621"</f>
        <v>20160621</v>
      </c>
      <c r="B186" s="7">
        <v>0.42335648148148147</v>
      </c>
      <c r="C186" s="6" t="str">
        <f t="shared" si="26"/>
        <v>300496</v>
      </c>
      <c r="D186" s="6" t="str">
        <f t="shared" si="27"/>
        <v>中科创达</v>
      </c>
      <c r="E186" s="6" t="str">
        <f>"卖出"</f>
        <v>卖出</v>
      </c>
      <c r="F186" s="8">
        <v>74.8</v>
      </c>
      <c r="G186" s="6">
        <v>-14300</v>
      </c>
      <c r="H186" s="6">
        <v>1069643</v>
      </c>
    </row>
    <row r="187" spans="1:8" s="9" customFormat="1" x14ac:dyDescent="0.15">
      <c r="A187" s="10" t="str">
        <f t="shared" si="29"/>
        <v>20160621</v>
      </c>
      <c r="B187" s="11">
        <v>0.42928240740740736</v>
      </c>
      <c r="C187" s="10" t="str">
        <f t="shared" ref="C187:C202" si="30">"300491"</f>
        <v>300491</v>
      </c>
      <c r="D187" s="10" t="str">
        <f t="shared" ref="D187:D202" si="31">"通合科技"</f>
        <v>通合科技</v>
      </c>
      <c r="E187" s="10" t="str">
        <f t="shared" ref="E187:E201" si="32">"买入"</f>
        <v>买入</v>
      </c>
      <c r="F187" s="12">
        <v>119.75</v>
      </c>
      <c r="G187" s="10">
        <v>900</v>
      </c>
      <c r="H187" s="10">
        <v>107775</v>
      </c>
    </row>
    <row r="188" spans="1:8" s="9" customFormat="1" x14ac:dyDescent="0.15">
      <c r="A188" s="10" t="str">
        <f t="shared" si="29"/>
        <v>20160621</v>
      </c>
      <c r="B188" s="11">
        <v>0.42944444444444446</v>
      </c>
      <c r="C188" s="10" t="str">
        <f t="shared" si="30"/>
        <v>300491</v>
      </c>
      <c r="D188" s="10" t="str">
        <f t="shared" si="31"/>
        <v>通合科技</v>
      </c>
      <c r="E188" s="10" t="str">
        <f t="shared" si="32"/>
        <v>买入</v>
      </c>
      <c r="F188" s="12">
        <v>119.74</v>
      </c>
      <c r="G188" s="10">
        <v>200</v>
      </c>
      <c r="H188" s="10">
        <v>23948</v>
      </c>
    </row>
    <row r="189" spans="1:8" s="9" customFormat="1" x14ac:dyDescent="0.15">
      <c r="A189" s="10" t="str">
        <f t="shared" si="29"/>
        <v>20160621</v>
      </c>
      <c r="B189" s="11">
        <v>0.42952546296296296</v>
      </c>
      <c r="C189" s="10" t="str">
        <f t="shared" si="30"/>
        <v>300491</v>
      </c>
      <c r="D189" s="10" t="str">
        <f t="shared" si="31"/>
        <v>通合科技</v>
      </c>
      <c r="E189" s="10" t="str">
        <f t="shared" si="32"/>
        <v>买入</v>
      </c>
      <c r="F189" s="12">
        <v>119.74</v>
      </c>
      <c r="G189" s="10">
        <v>300</v>
      </c>
      <c r="H189" s="10">
        <v>35922</v>
      </c>
    </row>
    <row r="190" spans="1:8" s="9" customFormat="1" x14ac:dyDescent="0.15">
      <c r="A190" s="10" t="str">
        <f t="shared" si="29"/>
        <v>20160621</v>
      </c>
      <c r="B190" s="11">
        <v>0.42987268518518523</v>
      </c>
      <c r="C190" s="10" t="str">
        <f t="shared" si="30"/>
        <v>300491</v>
      </c>
      <c r="D190" s="10" t="str">
        <f t="shared" si="31"/>
        <v>通合科技</v>
      </c>
      <c r="E190" s="10" t="str">
        <f t="shared" si="32"/>
        <v>买入</v>
      </c>
      <c r="F190" s="12">
        <v>120</v>
      </c>
      <c r="G190" s="10">
        <v>2000</v>
      </c>
      <c r="H190" s="10">
        <v>240000</v>
      </c>
    </row>
    <row r="191" spans="1:8" s="9" customFormat="1" x14ac:dyDescent="0.15">
      <c r="A191" s="10" t="str">
        <f t="shared" si="29"/>
        <v>20160621</v>
      </c>
      <c r="B191" s="11">
        <v>0.43005787037037035</v>
      </c>
      <c r="C191" s="10" t="str">
        <f t="shared" si="30"/>
        <v>300491</v>
      </c>
      <c r="D191" s="10" t="str">
        <f t="shared" si="31"/>
        <v>通合科技</v>
      </c>
      <c r="E191" s="10" t="str">
        <f t="shared" si="32"/>
        <v>买入</v>
      </c>
      <c r="F191" s="12">
        <v>119.99</v>
      </c>
      <c r="G191" s="10">
        <v>500</v>
      </c>
      <c r="H191" s="10">
        <v>59995</v>
      </c>
    </row>
    <row r="192" spans="1:8" s="9" customFormat="1" x14ac:dyDescent="0.15">
      <c r="A192" s="10" t="str">
        <f t="shared" si="29"/>
        <v>20160621</v>
      </c>
      <c r="B192" s="11">
        <v>0.43027777777777776</v>
      </c>
      <c r="C192" s="10" t="str">
        <f t="shared" si="30"/>
        <v>300491</v>
      </c>
      <c r="D192" s="10" t="str">
        <f t="shared" si="31"/>
        <v>通合科技</v>
      </c>
      <c r="E192" s="10" t="str">
        <f t="shared" si="32"/>
        <v>买入</v>
      </c>
      <c r="F192" s="12">
        <v>119.99</v>
      </c>
      <c r="G192" s="10">
        <v>500</v>
      </c>
      <c r="H192" s="10">
        <v>59995</v>
      </c>
    </row>
    <row r="193" spans="1:8" s="9" customFormat="1" x14ac:dyDescent="0.15">
      <c r="A193" s="10" t="str">
        <f t="shared" si="29"/>
        <v>20160621</v>
      </c>
      <c r="B193" s="11">
        <v>0.4304398148148148</v>
      </c>
      <c r="C193" s="10" t="str">
        <f t="shared" si="30"/>
        <v>300491</v>
      </c>
      <c r="D193" s="10" t="str">
        <f t="shared" si="31"/>
        <v>通合科技</v>
      </c>
      <c r="E193" s="10" t="str">
        <f t="shared" si="32"/>
        <v>买入</v>
      </c>
      <c r="F193" s="12">
        <v>120.1</v>
      </c>
      <c r="G193" s="10">
        <v>500</v>
      </c>
      <c r="H193" s="10">
        <v>60050</v>
      </c>
    </row>
    <row r="194" spans="1:8" s="9" customFormat="1" x14ac:dyDescent="0.15">
      <c r="A194" s="10" t="str">
        <f t="shared" si="29"/>
        <v>20160621</v>
      </c>
      <c r="B194" s="11">
        <v>0.43078703703703702</v>
      </c>
      <c r="C194" s="10" t="str">
        <f t="shared" si="30"/>
        <v>300491</v>
      </c>
      <c r="D194" s="10" t="str">
        <f t="shared" si="31"/>
        <v>通合科技</v>
      </c>
      <c r="E194" s="10" t="str">
        <f t="shared" si="32"/>
        <v>买入</v>
      </c>
      <c r="F194" s="12">
        <v>120.19</v>
      </c>
      <c r="G194" s="10">
        <v>500</v>
      </c>
      <c r="H194" s="10">
        <v>60095</v>
      </c>
    </row>
    <row r="195" spans="1:8" s="9" customFormat="1" x14ac:dyDescent="0.15">
      <c r="A195" s="10" t="str">
        <f t="shared" si="29"/>
        <v>20160621</v>
      </c>
      <c r="B195" s="11">
        <v>0.43093749999999997</v>
      </c>
      <c r="C195" s="10" t="str">
        <f t="shared" si="30"/>
        <v>300491</v>
      </c>
      <c r="D195" s="10" t="str">
        <f t="shared" si="31"/>
        <v>通合科技</v>
      </c>
      <c r="E195" s="10" t="str">
        <f t="shared" si="32"/>
        <v>买入</v>
      </c>
      <c r="F195" s="12">
        <v>120.19</v>
      </c>
      <c r="G195" s="10">
        <v>500</v>
      </c>
      <c r="H195" s="10">
        <v>60095</v>
      </c>
    </row>
    <row r="196" spans="1:8" s="9" customFormat="1" x14ac:dyDescent="0.15">
      <c r="A196" s="10" t="str">
        <f t="shared" si="29"/>
        <v>20160621</v>
      </c>
      <c r="B196" s="11">
        <v>0.43107638888888888</v>
      </c>
      <c r="C196" s="10" t="str">
        <f t="shared" si="30"/>
        <v>300491</v>
      </c>
      <c r="D196" s="10" t="str">
        <f t="shared" si="31"/>
        <v>通合科技</v>
      </c>
      <c r="E196" s="10" t="str">
        <f t="shared" si="32"/>
        <v>买入</v>
      </c>
      <c r="F196" s="12">
        <v>120.25</v>
      </c>
      <c r="G196" s="10">
        <v>1000</v>
      </c>
      <c r="H196" s="10">
        <v>120250</v>
      </c>
    </row>
    <row r="197" spans="1:8" s="9" customFormat="1" x14ac:dyDescent="0.15">
      <c r="A197" s="10" t="str">
        <f t="shared" si="29"/>
        <v>20160621</v>
      </c>
      <c r="B197" s="11">
        <v>0.43119212962962966</v>
      </c>
      <c r="C197" s="10" t="str">
        <f t="shared" si="30"/>
        <v>300491</v>
      </c>
      <c r="D197" s="10" t="str">
        <f t="shared" si="31"/>
        <v>通合科技</v>
      </c>
      <c r="E197" s="10" t="str">
        <f t="shared" si="32"/>
        <v>买入</v>
      </c>
      <c r="F197" s="12">
        <v>120.17</v>
      </c>
      <c r="G197" s="10">
        <v>500</v>
      </c>
      <c r="H197" s="10">
        <v>60085</v>
      </c>
    </row>
    <row r="198" spans="1:8" s="9" customFormat="1" x14ac:dyDescent="0.15">
      <c r="A198" s="10" t="str">
        <f t="shared" si="29"/>
        <v>20160621</v>
      </c>
      <c r="B198" s="11">
        <v>0.4312037037037037</v>
      </c>
      <c r="C198" s="10" t="str">
        <f t="shared" si="30"/>
        <v>300491</v>
      </c>
      <c r="D198" s="10" t="str">
        <f t="shared" si="31"/>
        <v>通合科技</v>
      </c>
      <c r="E198" s="10" t="str">
        <f t="shared" si="32"/>
        <v>买入</v>
      </c>
      <c r="F198" s="12">
        <v>120.05</v>
      </c>
      <c r="G198" s="10">
        <v>500</v>
      </c>
      <c r="H198" s="10">
        <v>60025</v>
      </c>
    </row>
    <row r="199" spans="1:8" s="9" customFormat="1" x14ac:dyDescent="0.15">
      <c r="A199" s="10" t="str">
        <f t="shared" si="29"/>
        <v>20160621</v>
      </c>
      <c r="B199" s="11">
        <v>0.43151620370370369</v>
      </c>
      <c r="C199" s="10" t="str">
        <f t="shared" si="30"/>
        <v>300491</v>
      </c>
      <c r="D199" s="10" t="str">
        <f t="shared" si="31"/>
        <v>通合科技</v>
      </c>
      <c r="E199" s="10" t="str">
        <f t="shared" si="32"/>
        <v>买入</v>
      </c>
      <c r="F199" s="12">
        <v>120.2</v>
      </c>
      <c r="G199" s="10">
        <v>500</v>
      </c>
      <c r="H199" s="10">
        <v>60100</v>
      </c>
    </row>
    <row r="200" spans="1:8" s="9" customFormat="1" x14ac:dyDescent="0.15">
      <c r="A200" s="10" t="str">
        <f t="shared" si="29"/>
        <v>20160621</v>
      </c>
      <c r="B200" s="11">
        <v>0.43180555555555555</v>
      </c>
      <c r="C200" s="10" t="str">
        <f t="shared" si="30"/>
        <v>300491</v>
      </c>
      <c r="D200" s="10" t="str">
        <f t="shared" si="31"/>
        <v>通合科技</v>
      </c>
      <c r="E200" s="10" t="str">
        <f t="shared" si="32"/>
        <v>买入</v>
      </c>
      <c r="F200" s="12">
        <v>120.5</v>
      </c>
      <c r="G200" s="10">
        <v>100</v>
      </c>
      <c r="H200" s="10">
        <v>12050</v>
      </c>
    </row>
    <row r="201" spans="1:8" s="9" customFormat="1" x14ac:dyDescent="0.15">
      <c r="A201" s="10" t="str">
        <f t="shared" si="29"/>
        <v>20160621</v>
      </c>
      <c r="B201" s="11">
        <v>0.43208333333333332</v>
      </c>
      <c r="C201" s="10" t="str">
        <f t="shared" si="30"/>
        <v>300491</v>
      </c>
      <c r="D201" s="10" t="str">
        <f t="shared" si="31"/>
        <v>通合科技</v>
      </c>
      <c r="E201" s="10" t="str">
        <f t="shared" si="32"/>
        <v>买入</v>
      </c>
      <c r="F201" s="12">
        <v>120.97</v>
      </c>
      <c r="G201" s="10">
        <v>400</v>
      </c>
      <c r="H201" s="10">
        <v>48388</v>
      </c>
    </row>
    <row r="202" spans="1:8" s="9" customFormat="1" x14ac:dyDescent="0.15">
      <c r="A202" s="6" t="str">
        <f t="shared" ref="A202:A239" si="33">"20160622"</f>
        <v>20160622</v>
      </c>
      <c r="B202" s="7">
        <v>0.39711805555555557</v>
      </c>
      <c r="C202" s="6" t="str">
        <f t="shared" si="30"/>
        <v>300491</v>
      </c>
      <c r="D202" s="6" t="str">
        <f t="shared" si="31"/>
        <v>通合科技</v>
      </c>
      <c r="E202" s="6" t="str">
        <f>"卖出"</f>
        <v>卖出</v>
      </c>
      <c r="F202" s="8">
        <v>107</v>
      </c>
      <c r="G202" s="6">
        <v>-8900</v>
      </c>
      <c r="H202" s="6">
        <v>952300</v>
      </c>
    </row>
    <row r="203" spans="1:8" s="9" customFormat="1" x14ac:dyDescent="0.15">
      <c r="A203" s="10" t="str">
        <f t="shared" si="33"/>
        <v>20160622</v>
      </c>
      <c r="B203" s="11">
        <v>0.55136574074074074</v>
      </c>
      <c r="C203" s="10" t="str">
        <f t="shared" ref="C203:C240" si="34">"002112"</f>
        <v>002112</v>
      </c>
      <c r="D203" s="10" t="str">
        <f t="shared" ref="D203:D240" si="35">"三变科技"</f>
        <v>三变科技</v>
      </c>
      <c r="E203" s="10" t="str">
        <f t="shared" ref="E203:E239" si="36">"买入"</f>
        <v>买入</v>
      </c>
      <c r="F203" s="12">
        <v>23.99</v>
      </c>
      <c r="G203" s="10">
        <v>600</v>
      </c>
      <c r="H203" s="10">
        <v>14394</v>
      </c>
    </row>
    <row r="204" spans="1:8" s="9" customFormat="1" x14ac:dyDescent="0.15">
      <c r="A204" s="10" t="str">
        <f t="shared" si="33"/>
        <v>20160622</v>
      </c>
      <c r="B204" s="11">
        <v>0.55159722222222218</v>
      </c>
      <c r="C204" s="10" t="str">
        <f t="shared" si="34"/>
        <v>002112</v>
      </c>
      <c r="D204" s="10" t="str">
        <f t="shared" si="35"/>
        <v>三变科技</v>
      </c>
      <c r="E204" s="10" t="str">
        <f t="shared" si="36"/>
        <v>买入</v>
      </c>
      <c r="F204" s="12">
        <v>23.99</v>
      </c>
      <c r="G204" s="10">
        <v>3800</v>
      </c>
      <c r="H204" s="10">
        <v>91162</v>
      </c>
    </row>
    <row r="205" spans="1:8" s="9" customFormat="1" x14ac:dyDescent="0.15">
      <c r="A205" s="10" t="str">
        <f t="shared" si="33"/>
        <v>20160622</v>
      </c>
      <c r="B205" s="11">
        <v>0.55170138888888887</v>
      </c>
      <c r="C205" s="10" t="str">
        <f t="shared" si="34"/>
        <v>002112</v>
      </c>
      <c r="D205" s="10" t="str">
        <f t="shared" si="35"/>
        <v>三变科技</v>
      </c>
      <c r="E205" s="10" t="str">
        <f t="shared" si="36"/>
        <v>买入</v>
      </c>
      <c r="F205" s="12">
        <v>23.960999999999999</v>
      </c>
      <c r="G205" s="10">
        <v>1200</v>
      </c>
      <c r="H205" s="10">
        <v>28753</v>
      </c>
    </row>
    <row r="206" spans="1:8" s="9" customFormat="1" x14ac:dyDescent="0.15">
      <c r="A206" s="10" t="str">
        <f t="shared" si="33"/>
        <v>20160622</v>
      </c>
      <c r="B206" s="11">
        <v>0.55196759259259254</v>
      </c>
      <c r="C206" s="10" t="str">
        <f t="shared" si="34"/>
        <v>002112</v>
      </c>
      <c r="D206" s="10" t="str">
        <f t="shared" si="35"/>
        <v>三变科技</v>
      </c>
      <c r="E206" s="10" t="str">
        <f t="shared" si="36"/>
        <v>买入</v>
      </c>
      <c r="F206" s="12">
        <v>23.99</v>
      </c>
      <c r="G206" s="10">
        <v>2800</v>
      </c>
      <c r="H206" s="10">
        <v>67172</v>
      </c>
    </row>
    <row r="207" spans="1:8" s="9" customFormat="1" x14ac:dyDescent="0.15">
      <c r="A207" s="10" t="str">
        <f t="shared" si="33"/>
        <v>20160622</v>
      </c>
      <c r="B207" s="11">
        <v>0.55219907407407409</v>
      </c>
      <c r="C207" s="10" t="str">
        <f t="shared" si="34"/>
        <v>002112</v>
      </c>
      <c r="D207" s="10" t="str">
        <f t="shared" si="35"/>
        <v>三变科技</v>
      </c>
      <c r="E207" s="10" t="str">
        <f t="shared" si="36"/>
        <v>买入</v>
      </c>
      <c r="F207" s="12">
        <v>23.96</v>
      </c>
      <c r="G207" s="10">
        <v>1200</v>
      </c>
      <c r="H207" s="10">
        <v>28752</v>
      </c>
    </row>
    <row r="208" spans="1:8" s="9" customFormat="1" x14ac:dyDescent="0.15">
      <c r="A208" s="10" t="str">
        <f t="shared" si="33"/>
        <v>20160622</v>
      </c>
      <c r="B208" s="11">
        <v>0.55234953703703704</v>
      </c>
      <c r="C208" s="10" t="str">
        <f t="shared" si="34"/>
        <v>002112</v>
      </c>
      <c r="D208" s="10" t="str">
        <f t="shared" si="35"/>
        <v>三变科技</v>
      </c>
      <c r="E208" s="10" t="str">
        <f t="shared" si="36"/>
        <v>买入</v>
      </c>
      <c r="F208" s="12">
        <v>23.96</v>
      </c>
      <c r="G208" s="10">
        <v>100</v>
      </c>
      <c r="H208" s="10">
        <v>2396</v>
      </c>
    </row>
    <row r="209" spans="1:8" s="9" customFormat="1" x14ac:dyDescent="0.15">
      <c r="A209" s="10" t="str">
        <f t="shared" si="33"/>
        <v>20160622</v>
      </c>
      <c r="B209" s="11">
        <v>0.55291666666666661</v>
      </c>
      <c r="C209" s="10" t="str">
        <f t="shared" si="34"/>
        <v>002112</v>
      </c>
      <c r="D209" s="10" t="str">
        <f t="shared" si="35"/>
        <v>三变科技</v>
      </c>
      <c r="E209" s="10" t="str">
        <f t="shared" si="36"/>
        <v>买入</v>
      </c>
      <c r="F209" s="12">
        <v>23.94</v>
      </c>
      <c r="G209" s="10">
        <v>1000</v>
      </c>
      <c r="H209" s="10">
        <v>23940</v>
      </c>
    </row>
    <row r="210" spans="1:8" s="9" customFormat="1" x14ac:dyDescent="0.15">
      <c r="A210" s="10" t="str">
        <f t="shared" si="33"/>
        <v>20160622</v>
      </c>
      <c r="B210" s="11">
        <v>0.55412037037037043</v>
      </c>
      <c r="C210" s="10" t="str">
        <f t="shared" si="34"/>
        <v>002112</v>
      </c>
      <c r="D210" s="10" t="str">
        <f t="shared" si="35"/>
        <v>三变科技</v>
      </c>
      <c r="E210" s="10" t="str">
        <f t="shared" si="36"/>
        <v>买入</v>
      </c>
      <c r="F210" s="12">
        <v>23.93</v>
      </c>
      <c r="G210" s="10">
        <v>1000</v>
      </c>
      <c r="H210" s="10">
        <v>23930</v>
      </c>
    </row>
    <row r="211" spans="1:8" s="9" customFormat="1" x14ac:dyDescent="0.15">
      <c r="A211" s="10" t="str">
        <f t="shared" si="33"/>
        <v>20160622</v>
      </c>
      <c r="B211" s="11">
        <v>0.55462962962962969</v>
      </c>
      <c r="C211" s="10" t="str">
        <f t="shared" si="34"/>
        <v>002112</v>
      </c>
      <c r="D211" s="10" t="str">
        <f t="shared" si="35"/>
        <v>三变科技</v>
      </c>
      <c r="E211" s="10" t="str">
        <f t="shared" si="36"/>
        <v>买入</v>
      </c>
      <c r="F211" s="12">
        <v>23.95</v>
      </c>
      <c r="G211" s="10">
        <v>1000</v>
      </c>
      <c r="H211" s="10">
        <v>23950</v>
      </c>
    </row>
    <row r="212" spans="1:8" s="9" customFormat="1" x14ac:dyDescent="0.15">
      <c r="A212" s="10" t="str">
        <f t="shared" si="33"/>
        <v>20160622</v>
      </c>
      <c r="B212" s="11">
        <v>0.55472222222222223</v>
      </c>
      <c r="C212" s="10" t="str">
        <f t="shared" si="34"/>
        <v>002112</v>
      </c>
      <c r="D212" s="10" t="str">
        <f t="shared" si="35"/>
        <v>三变科技</v>
      </c>
      <c r="E212" s="10" t="str">
        <f t="shared" si="36"/>
        <v>买入</v>
      </c>
      <c r="F212" s="12">
        <v>23.937999999999999</v>
      </c>
      <c r="G212" s="10">
        <v>1000</v>
      </c>
      <c r="H212" s="10">
        <v>23938</v>
      </c>
    </row>
    <row r="213" spans="1:8" s="9" customFormat="1" x14ac:dyDescent="0.15">
      <c r="A213" s="10" t="str">
        <f t="shared" si="33"/>
        <v>20160622</v>
      </c>
      <c r="B213" s="11">
        <v>0.5549074074074074</v>
      </c>
      <c r="C213" s="10" t="str">
        <f t="shared" si="34"/>
        <v>002112</v>
      </c>
      <c r="D213" s="10" t="str">
        <f t="shared" si="35"/>
        <v>三变科技</v>
      </c>
      <c r="E213" s="10" t="str">
        <f t="shared" si="36"/>
        <v>买入</v>
      </c>
      <c r="F213" s="12">
        <v>23.95</v>
      </c>
      <c r="G213" s="10">
        <v>1000</v>
      </c>
      <c r="H213" s="10">
        <v>23950</v>
      </c>
    </row>
    <row r="214" spans="1:8" s="9" customFormat="1" x14ac:dyDescent="0.15">
      <c r="A214" s="10" t="str">
        <f t="shared" si="33"/>
        <v>20160622</v>
      </c>
      <c r="B214" s="11">
        <v>0.55914351851851851</v>
      </c>
      <c r="C214" s="10" t="str">
        <f t="shared" si="34"/>
        <v>002112</v>
      </c>
      <c r="D214" s="10" t="str">
        <f t="shared" si="35"/>
        <v>三变科技</v>
      </c>
      <c r="E214" s="10" t="str">
        <f t="shared" si="36"/>
        <v>买入</v>
      </c>
      <c r="F214" s="12">
        <v>23.87</v>
      </c>
      <c r="G214" s="10">
        <v>1000</v>
      </c>
      <c r="H214" s="10">
        <v>23870</v>
      </c>
    </row>
    <row r="215" spans="1:8" s="9" customFormat="1" x14ac:dyDescent="0.15">
      <c r="A215" s="10" t="str">
        <f t="shared" si="33"/>
        <v>20160622</v>
      </c>
      <c r="B215" s="11">
        <v>0.55932870370370369</v>
      </c>
      <c r="C215" s="10" t="str">
        <f t="shared" si="34"/>
        <v>002112</v>
      </c>
      <c r="D215" s="10" t="str">
        <f t="shared" si="35"/>
        <v>三变科技</v>
      </c>
      <c r="E215" s="10" t="str">
        <f t="shared" si="36"/>
        <v>买入</v>
      </c>
      <c r="F215" s="12">
        <v>23.79</v>
      </c>
      <c r="G215" s="10">
        <v>1100</v>
      </c>
      <c r="H215" s="10">
        <v>26169</v>
      </c>
    </row>
    <row r="216" spans="1:8" s="9" customFormat="1" x14ac:dyDescent="0.15">
      <c r="A216" s="10" t="str">
        <f t="shared" si="33"/>
        <v>20160622</v>
      </c>
      <c r="B216" s="11">
        <v>0.55969907407407404</v>
      </c>
      <c r="C216" s="10" t="str">
        <f t="shared" si="34"/>
        <v>002112</v>
      </c>
      <c r="D216" s="10" t="str">
        <f t="shared" si="35"/>
        <v>三变科技</v>
      </c>
      <c r="E216" s="10" t="str">
        <f t="shared" si="36"/>
        <v>买入</v>
      </c>
      <c r="F216" s="12">
        <v>23.79</v>
      </c>
      <c r="G216" s="10">
        <v>2100</v>
      </c>
      <c r="H216" s="10">
        <v>49959</v>
      </c>
    </row>
    <row r="217" spans="1:8" s="9" customFormat="1" x14ac:dyDescent="0.15">
      <c r="A217" s="10" t="str">
        <f t="shared" si="33"/>
        <v>20160622</v>
      </c>
      <c r="B217" s="11">
        <v>0.56079861111111107</v>
      </c>
      <c r="C217" s="10" t="str">
        <f t="shared" si="34"/>
        <v>002112</v>
      </c>
      <c r="D217" s="10" t="str">
        <f t="shared" si="35"/>
        <v>三变科技</v>
      </c>
      <c r="E217" s="10" t="str">
        <f t="shared" si="36"/>
        <v>买入</v>
      </c>
      <c r="F217" s="12">
        <v>23.78</v>
      </c>
      <c r="G217" s="10">
        <v>1000</v>
      </c>
      <c r="H217" s="10">
        <v>23780</v>
      </c>
    </row>
    <row r="218" spans="1:8" s="9" customFormat="1" x14ac:dyDescent="0.15">
      <c r="A218" s="10" t="str">
        <f t="shared" si="33"/>
        <v>20160622</v>
      </c>
      <c r="B218" s="11">
        <v>0.56166666666666665</v>
      </c>
      <c r="C218" s="10" t="str">
        <f t="shared" si="34"/>
        <v>002112</v>
      </c>
      <c r="D218" s="10" t="str">
        <f t="shared" si="35"/>
        <v>三变科技</v>
      </c>
      <c r="E218" s="10" t="str">
        <f t="shared" si="36"/>
        <v>买入</v>
      </c>
      <c r="F218" s="12">
        <v>23.96</v>
      </c>
      <c r="G218" s="10">
        <v>1000</v>
      </c>
      <c r="H218" s="10">
        <v>23960</v>
      </c>
    </row>
    <row r="219" spans="1:8" s="9" customFormat="1" x14ac:dyDescent="0.15">
      <c r="A219" s="10" t="str">
        <f t="shared" si="33"/>
        <v>20160622</v>
      </c>
      <c r="B219" s="11">
        <v>0.56175925925925929</v>
      </c>
      <c r="C219" s="10" t="str">
        <f t="shared" si="34"/>
        <v>002112</v>
      </c>
      <c r="D219" s="10" t="str">
        <f t="shared" si="35"/>
        <v>三变科技</v>
      </c>
      <c r="E219" s="10" t="str">
        <f t="shared" si="36"/>
        <v>买入</v>
      </c>
      <c r="F219" s="12">
        <v>23.96</v>
      </c>
      <c r="G219" s="10">
        <v>700</v>
      </c>
      <c r="H219" s="10">
        <v>16772</v>
      </c>
    </row>
    <row r="220" spans="1:8" s="9" customFormat="1" x14ac:dyDescent="0.15">
      <c r="A220" s="10" t="str">
        <f t="shared" si="33"/>
        <v>20160622</v>
      </c>
      <c r="B220" s="11">
        <v>0.56193287037037043</v>
      </c>
      <c r="C220" s="10" t="str">
        <f t="shared" si="34"/>
        <v>002112</v>
      </c>
      <c r="D220" s="10" t="str">
        <f t="shared" si="35"/>
        <v>三变科技</v>
      </c>
      <c r="E220" s="10" t="str">
        <f t="shared" si="36"/>
        <v>买入</v>
      </c>
      <c r="F220" s="12">
        <v>23.96</v>
      </c>
      <c r="G220" s="10">
        <v>1000</v>
      </c>
      <c r="H220" s="10">
        <v>23960</v>
      </c>
    </row>
    <row r="221" spans="1:8" s="9" customFormat="1" x14ac:dyDescent="0.15">
      <c r="A221" s="10" t="str">
        <f t="shared" si="33"/>
        <v>20160622</v>
      </c>
      <c r="B221" s="11">
        <v>0.56218749999999995</v>
      </c>
      <c r="C221" s="10" t="str">
        <f t="shared" si="34"/>
        <v>002112</v>
      </c>
      <c r="D221" s="10" t="str">
        <f t="shared" si="35"/>
        <v>三变科技</v>
      </c>
      <c r="E221" s="10" t="str">
        <f t="shared" si="36"/>
        <v>买入</v>
      </c>
      <c r="F221" s="12">
        <v>23.95</v>
      </c>
      <c r="G221" s="10">
        <v>100</v>
      </c>
      <c r="H221" s="10">
        <v>2395</v>
      </c>
    </row>
    <row r="222" spans="1:8" s="9" customFormat="1" x14ac:dyDescent="0.15">
      <c r="A222" s="10" t="str">
        <f t="shared" si="33"/>
        <v>20160622</v>
      </c>
      <c r="B222" s="11">
        <v>0.5623379629629629</v>
      </c>
      <c r="C222" s="10" t="str">
        <f t="shared" si="34"/>
        <v>002112</v>
      </c>
      <c r="D222" s="10" t="str">
        <f t="shared" si="35"/>
        <v>三变科技</v>
      </c>
      <c r="E222" s="10" t="str">
        <f t="shared" si="36"/>
        <v>买入</v>
      </c>
      <c r="F222" s="12">
        <v>23.88</v>
      </c>
      <c r="G222" s="10">
        <v>2000</v>
      </c>
      <c r="H222" s="10">
        <v>47760</v>
      </c>
    </row>
    <row r="223" spans="1:8" s="9" customFormat="1" x14ac:dyDescent="0.15">
      <c r="A223" s="10" t="str">
        <f t="shared" si="33"/>
        <v>20160622</v>
      </c>
      <c r="B223" s="11">
        <v>0.56283564814814813</v>
      </c>
      <c r="C223" s="10" t="str">
        <f t="shared" si="34"/>
        <v>002112</v>
      </c>
      <c r="D223" s="10" t="str">
        <f t="shared" si="35"/>
        <v>三变科技</v>
      </c>
      <c r="E223" s="10" t="str">
        <f t="shared" si="36"/>
        <v>买入</v>
      </c>
      <c r="F223" s="12">
        <v>23.93</v>
      </c>
      <c r="G223" s="10">
        <v>1000</v>
      </c>
      <c r="H223" s="10">
        <v>23930</v>
      </c>
    </row>
    <row r="224" spans="1:8" s="9" customFormat="1" x14ac:dyDescent="0.15">
      <c r="A224" s="10" t="str">
        <f t="shared" si="33"/>
        <v>20160622</v>
      </c>
      <c r="B224" s="11">
        <v>0.56300925925925926</v>
      </c>
      <c r="C224" s="10" t="str">
        <f t="shared" si="34"/>
        <v>002112</v>
      </c>
      <c r="D224" s="10" t="str">
        <f t="shared" si="35"/>
        <v>三变科技</v>
      </c>
      <c r="E224" s="10" t="str">
        <f t="shared" si="36"/>
        <v>买入</v>
      </c>
      <c r="F224" s="12">
        <v>23.94</v>
      </c>
      <c r="G224" s="10">
        <v>1000</v>
      </c>
      <c r="H224" s="10">
        <v>23940</v>
      </c>
    </row>
    <row r="225" spans="1:8" s="9" customFormat="1" x14ac:dyDescent="0.15">
      <c r="A225" s="10" t="str">
        <f t="shared" si="33"/>
        <v>20160622</v>
      </c>
      <c r="B225" s="11">
        <v>0.56325231481481486</v>
      </c>
      <c r="C225" s="10" t="str">
        <f t="shared" si="34"/>
        <v>002112</v>
      </c>
      <c r="D225" s="10" t="str">
        <f t="shared" si="35"/>
        <v>三变科技</v>
      </c>
      <c r="E225" s="10" t="str">
        <f t="shared" si="36"/>
        <v>买入</v>
      </c>
      <c r="F225" s="12">
        <v>23.94</v>
      </c>
      <c r="G225" s="10">
        <v>1000</v>
      </c>
      <c r="H225" s="10">
        <v>23940</v>
      </c>
    </row>
    <row r="226" spans="1:8" s="9" customFormat="1" x14ac:dyDescent="0.15">
      <c r="A226" s="10" t="str">
        <f t="shared" si="33"/>
        <v>20160622</v>
      </c>
      <c r="B226" s="11">
        <v>0.56362268518518521</v>
      </c>
      <c r="C226" s="10" t="str">
        <f t="shared" si="34"/>
        <v>002112</v>
      </c>
      <c r="D226" s="10" t="str">
        <f t="shared" si="35"/>
        <v>三变科技</v>
      </c>
      <c r="E226" s="10" t="str">
        <f t="shared" si="36"/>
        <v>买入</v>
      </c>
      <c r="F226" s="12">
        <v>23.93</v>
      </c>
      <c r="G226" s="10">
        <v>500</v>
      </c>
      <c r="H226" s="10">
        <v>11965</v>
      </c>
    </row>
    <row r="227" spans="1:8" s="9" customFormat="1" x14ac:dyDescent="0.15">
      <c r="A227" s="10" t="str">
        <f t="shared" si="33"/>
        <v>20160622</v>
      </c>
      <c r="B227" s="11">
        <v>0.5637847222222222</v>
      </c>
      <c r="C227" s="10" t="str">
        <f t="shared" si="34"/>
        <v>002112</v>
      </c>
      <c r="D227" s="10" t="str">
        <f t="shared" si="35"/>
        <v>三变科技</v>
      </c>
      <c r="E227" s="10" t="str">
        <f t="shared" si="36"/>
        <v>买入</v>
      </c>
      <c r="F227" s="12">
        <v>23.88</v>
      </c>
      <c r="G227" s="10">
        <v>1000</v>
      </c>
      <c r="H227" s="10">
        <v>23880</v>
      </c>
    </row>
    <row r="228" spans="1:8" s="9" customFormat="1" x14ac:dyDescent="0.15">
      <c r="A228" s="10" t="str">
        <f t="shared" si="33"/>
        <v>20160622</v>
      </c>
      <c r="B228" s="11">
        <v>0.56467592592592586</v>
      </c>
      <c r="C228" s="10" t="str">
        <f t="shared" si="34"/>
        <v>002112</v>
      </c>
      <c r="D228" s="10" t="str">
        <f t="shared" si="35"/>
        <v>三变科技</v>
      </c>
      <c r="E228" s="10" t="str">
        <f t="shared" si="36"/>
        <v>买入</v>
      </c>
      <c r="F228" s="12">
        <v>23.92</v>
      </c>
      <c r="G228" s="10">
        <v>500</v>
      </c>
      <c r="H228" s="10">
        <v>11960</v>
      </c>
    </row>
    <row r="229" spans="1:8" s="9" customFormat="1" x14ac:dyDescent="0.15">
      <c r="A229" s="10" t="str">
        <f t="shared" si="33"/>
        <v>20160622</v>
      </c>
      <c r="B229" s="11">
        <v>0.56502314814814814</v>
      </c>
      <c r="C229" s="10" t="str">
        <f t="shared" si="34"/>
        <v>002112</v>
      </c>
      <c r="D229" s="10" t="str">
        <f t="shared" si="35"/>
        <v>三变科技</v>
      </c>
      <c r="E229" s="10" t="str">
        <f t="shared" si="36"/>
        <v>买入</v>
      </c>
      <c r="F229" s="12">
        <v>23.97</v>
      </c>
      <c r="G229" s="10">
        <v>1000</v>
      </c>
      <c r="H229" s="10">
        <v>23970</v>
      </c>
    </row>
    <row r="230" spans="1:8" s="9" customFormat="1" x14ac:dyDescent="0.15">
      <c r="A230" s="10" t="str">
        <f t="shared" si="33"/>
        <v>20160622</v>
      </c>
      <c r="B230" s="11">
        <v>0.56511574074074067</v>
      </c>
      <c r="C230" s="10" t="str">
        <f t="shared" si="34"/>
        <v>002112</v>
      </c>
      <c r="D230" s="10" t="str">
        <f t="shared" si="35"/>
        <v>三变科技</v>
      </c>
      <c r="E230" s="10" t="str">
        <f t="shared" si="36"/>
        <v>买入</v>
      </c>
      <c r="F230" s="12">
        <v>23.954000000000001</v>
      </c>
      <c r="G230" s="10">
        <v>500</v>
      </c>
      <c r="H230" s="10">
        <v>11977</v>
      </c>
    </row>
    <row r="231" spans="1:8" s="9" customFormat="1" x14ac:dyDescent="0.15">
      <c r="A231" s="10" t="str">
        <f t="shared" si="33"/>
        <v>20160622</v>
      </c>
      <c r="B231" s="11">
        <v>0.56543981481481487</v>
      </c>
      <c r="C231" s="10" t="str">
        <f t="shared" si="34"/>
        <v>002112</v>
      </c>
      <c r="D231" s="10" t="str">
        <f t="shared" si="35"/>
        <v>三变科技</v>
      </c>
      <c r="E231" s="10" t="str">
        <f t="shared" si="36"/>
        <v>买入</v>
      </c>
      <c r="F231" s="12">
        <v>24</v>
      </c>
      <c r="G231" s="10">
        <v>500</v>
      </c>
      <c r="H231" s="10">
        <v>12000</v>
      </c>
    </row>
    <row r="232" spans="1:8" s="9" customFormat="1" x14ac:dyDescent="0.15">
      <c r="A232" s="10" t="str">
        <f t="shared" si="33"/>
        <v>20160622</v>
      </c>
      <c r="B232" s="11">
        <v>0.56552083333333336</v>
      </c>
      <c r="C232" s="10" t="str">
        <f t="shared" si="34"/>
        <v>002112</v>
      </c>
      <c r="D232" s="10" t="str">
        <f t="shared" si="35"/>
        <v>三变科技</v>
      </c>
      <c r="E232" s="10" t="str">
        <f t="shared" si="36"/>
        <v>买入</v>
      </c>
      <c r="F232" s="12">
        <v>24</v>
      </c>
      <c r="G232" s="10">
        <v>1000</v>
      </c>
      <c r="H232" s="10">
        <v>24000</v>
      </c>
    </row>
    <row r="233" spans="1:8" s="9" customFormat="1" x14ac:dyDescent="0.15">
      <c r="A233" s="10" t="str">
        <f t="shared" si="33"/>
        <v>20160622</v>
      </c>
      <c r="B233" s="11">
        <v>0.56561342592592589</v>
      </c>
      <c r="C233" s="10" t="str">
        <f t="shared" si="34"/>
        <v>002112</v>
      </c>
      <c r="D233" s="10" t="str">
        <f t="shared" si="35"/>
        <v>三变科技</v>
      </c>
      <c r="E233" s="10" t="str">
        <f t="shared" si="36"/>
        <v>买入</v>
      </c>
      <c r="F233" s="12">
        <v>24</v>
      </c>
      <c r="G233" s="10">
        <v>1000</v>
      </c>
      <c r="H233" s="10">
        <v>24000</v>
      </c>
    </row>
    <row r="234" spans="1:8" s="9" customFormat="1" x14ac:dyDescent="0.15">
      <c r="A234" s="10" t="str">
        <f t="shared" si="33"/>
        <v>20160622</v>
      </c>
      <c r="B234" s="11">
        <v>0.56582175925925926</v>
      </c>
      <c r="C234" s="10" t="str">
        <f t="shared" si="34"/>
        <v>002112</v>
      </c>
      <c r="D234" s="10" t="str">
        <f t="shared" si="35"/>
        <v>三变科技</v>
      </c>
      <c r="E234" s="10" t="str">
        <f t="shared" si="36"/>
        <v>买入</v>
      </c>
      <c r="F234" s="12">
        <v>24</v>
      </c>
      <c r="G234" s="10">
        <v>900</v>
      </c>
      <c r="H234" s="10">
        <v>21600</v>
      </c>
    </row>
    <row r="235" spans="1:8" s="9" customFormat="1" x14ac:dyDescent="0.15">
      <c r="A235" s="10" t="str">
        <f t="shared" si="33"/>
        <v>20160622</v>
      </c>
      <c r="B235" s="11">
        <v>0.56593749999999998</v>
      </c>
      <c r="C235" s="10" t="str">
        <f t="shared" si="34"/>
        <v>002112</v>
      </c>
      <c r="D235" s="10" t="str">
        <f t="shared" si="35"/>
        <v>三变科技</v>
      </c>
      <c r="E235" s="10" t="str">
        <f t="shared" si="36"/>
        <v>买入</v>
      </c>
      <c r="F235" s="12">
        <v>24</v>
      </c>
      <c r="G235" s="10">
        <v>100</v>
      </c>
      <c r="H235" s="10">
        <v>2400</v>
      </c>
    </row>
    <row r="236" spans="1:8" s="9" customFormat="1" x14ac:dyDescent="0.15">
      <c r="A236" s="10" t="str">
        <f t="shared" si="33"/>
        <v>20160622</v>
      </c>
      <c r="B236" s="11">
        <v>0.56609953703703708</v>
      </c>
      <c r="C236" s="10" t="str">
        <f t="shared" si="34"/>
        <v>002112</v>
      </c>
      <c r="D236" s="10" t="str">
        <f t="shared" si="35"/>
        <v>三变科技</v>
      </c>
      <c r="E236" s="10" t="str">
        <f t="shared" si="36"/>
        <v>买入</v>
      </c>
      <c r="F236" s="12">
        <v>23.99</v>
      </c>
      <c r="G236" s="10">
        <v>500</v>
      </c>
      <c r="H236" s="10">
        <v>11995</v>
      </c>
    </row>
    <row r="237" spans="1:8" s="9" customFormat="1" x14ac:dyDescent="0.15">
      <c r="A237" s="10" t="str">
        <f t="shared" si="33"/>
        <v>20160622</v>
      </c>
      <c r="B237" s="11">
        <v>0.56623842592592599</v>
      </c>
      <c r="C237" s="10" t="str">
        <f t="shared" si="34"/>
        <v>002112</v>
      </c>
      <c r="D237" s="10" t="str">
        <f t="shared" si="35"/>
        <v>三变科技</v>
      </c>
      <c r="E237" s="10" t="str">
        <f t="shared" si="36"/>
        <v>买入</v>
      </c>
      <c r="F237" s="12">
        <v>24</v>
      </c>
      <c r="G237" s="10">
        <v>500</v>
      </c>
      <c r="H237" s="10">
        <v>12000</v>
      </c>
    </row>
    <row r="238" spans="1:8" s="9" customFormat="1" x14ac:dyDescent="0.15">
      <c r="A238" s="10" t="str">
        <f t="shared" si="33"/>
        <v>20160622</v>
      </c>
      <c r="B238" s="11">
        <v>0.56652777777777774</v>
      </c>
      <c r="C238" s="10" t="str">
        <f t="shared" si="34"/>
        <v>002112</v>
      </c>
      <c r="D238" s="10" t="str">
        <f t="shared" si="35"/>
        <v>三变科技</v>
      </c>
      <c r="E238" s="10" t="str">
        <f t="shared" si="36"/>
        <v>买入</v>
      </c>
      <c r="F238" s="12">
        <v>24</v>
      </c>
      <c r="G238" s="10">
        <v>1000</v>
      </c>
      <c r="H238" s="10">
        <v>24000</v>
      </c>
    </row>
    <row r="239" spans="1:8" s="9" customFormat="1" x14ac:dyDescent="0.15">
      <c r="A239" s="10" t="str">
        <f t="shared" si="33"/>
        <v>20160622</v>
      </c>
      <c r="B239" s="11">
        <v>0.56665509259259261</v>
      </c>
      <c r="C239" s="10" t="str">
        <f t="shared" si="34"/>
        <v>002112</v>
      </c>
      <c r="D239" s="10" t="str">
        <f t="shared" si="35"/>
        <v>三变科技</v>
      </c>
      <c r="E239" s="10" t="str">
        <f t="shared" si="36"/>
        <v>买入</v>
      </c>
      <c r="F239" s="12">
        <v>24</v>
      </c>
      <c r="G239" s="10">
        <v>3000</v>
      </c>
      <c r="H239" s="10">
        <v>72000</v>
      </c>
    </row>
    <row r="240" spans="1:8" s="9" customFormat="1" x14ac:dyDescent="0.15">
      <c r="A240" s="6" t="str">
        <f t="shared" ref="A240:A246" si="37">"20160623"</f>
        <v>20160623</v>
      </c>
      <c r="B240" s="7">
        <v>0.40221064814814816</v>
      </c>
      <c r="C240" s="6" t="str">
        <f t="shared" si="34"/>
        <v>002112</v>
      </c>
      <c r="D240" s="6" t="str">
        <f t="shared" si="35"/>
        <v>三变科技</v>
      </c>
      <c r="E240" s="6" t="str">
        <f>"卖出"</f>
        <v>卖出</v>
      </c>
      <c r="F240" s="8">
        <v>24.738</v>
      </c>
      <c r="G240" s="6">
        <v>-39700</v>
      </c>
      <c r="H240" s="6">
        <v>982113</v>
      </c>
    </row>
    <row r="241" spans="1:8" s="9" customFormat="1" x14ac:dyDescent="0.15">
      <c r="A241" s="10" t="str">
        <f t="shared" si="37"/>
        <v>20160623</v>
      </c>
      <c r="B241" s="11">
        <v>0.43903935185185183</v>
      </c>
      <c r="C241" s="10" t="str">
        <f t="shared" ref="C241:C247" si="38">"000626"</f>
        <v>000626</v>
      </c>
      <c r="D241" s="10" t="str">
        <f t="shared" ref="D241:D247" si="39">"如意集团"</f>
        <v>如意集团</v>
      </c>
      <c r="E241" s="10" t="str">
        <f t="shared" ref="E241:E246" si="40">"买入"</f>
        <v>买入</v>
      </c>
      <c r="F241" s="12">
        <v>59.706000000000003</v>
      </c>
      <c r="G241" s="10">
        <v>6400</v>
      </c>
      <c r="H241" s="10">
        <v>382120.68</v>
      </c>
    </row>
    <row r="242" spans="1:8" s="9" customFormat="1" x14ac:dyDescent="0.15">
      <c r="A242" s="10" t="str">
        <f t="shared" si="37"/>
        <v>20160623</v>
      </c>
      <c r="B242" s="11">
        <v>0.43944444444444447</v>
      </c>
      <c r="C242" s="10" t="str">
        <f t="shared" si="38"/>
        <v>000626</v>
      </c>
      <c r="D242" s="10" t="str">
        <f t="shared" si="39"/>
        <v>如意集团</v>
      </c>
      <c r="E242" s="10" t="str">
        <f t="shared" si="40"/>
        <v>买入</v>
      </c>
      <c r="F242" s="12">
        <v>59.78</v>
      </c>
      <c r="G242" s="10">
        <v>2000</v>
      </c>
      <c r="H242" s="10">
        <v>119560</v>
      </c>
    </row>
    <row r="243" spans="1:8" s="9" customFormat="1" x14ac:dyDescent="0.15">
      <c r="A243" s="10" t="str">
        <f t="shared" si="37"/>
        <v>20160623</v>
      </c>
      <c r="B243" s="11">
        <v>0.43960648148148151</v>
      </c>
      <c r="C243" s="10" t="str">
        <f t="shared" si="38"/>
        <v>000626</v>
      </c>
      <c r="D243" s="10" t="str">
        <f t="shared" si="39"/>
        <v>如意集团</v>
      </c>
      <c r="E243" s="10" t="str">
        <f t="shared" si="40"/>
        <v>买入</v>
      </c>
      <c r="F243" s="12">
        <v>59.798000000000002</v>
      </c>
      <c r="G243" s="10">
        <v>2000</v>
      </c>
      <c r="H243" s="10">
        <v>119596</v>
      </c>
    </row>
    <row r="244" spans="1:8" s="9" customFormat="1" x14ac:dyDescent="0.15">
      <c r="A244" s="10" t="str">
        <f t="shared" si="37"/>
        <v>20160623</v>
      </c>
      <c r="B244" s="11">
        <v>0.4397685185185185</v>
      </c>
      <c r="C244" s="10" t="str">
        <f t="shared" si="38"/>
        <v>000626</v>
      </c>
      <c r="D244" s="10" t="str">
        <f t="shared" si="39"/>
        <v>如意集团</v>
      </c>
      <c r="E244" s="10" t="str">
        <f t="shared" si="40"/>
        <v>买入</v>
      </c>
      <c r="F244" s="12">
        <v>59.866999999999997</v>
      </c>
      <c r="G244" s="10">
        <v>2000</v>
      </c>
      <c r="H244" s="10">
        <v>119734</v>
      </c>
    </row>
    <row r="245" spans="1:8" s="9" customFormat="1" x14ac:dyDescent="0.15">
      <c r="A245" s="10" t="str">
        <f t="shared" si="37"/>
        <v>20160623</v>
      </c>
      <c r="B245" s="11">
        <v>0.43989583333333332</v>
      </c>
      <c r="C245" s="10" t="str">
        <f t="shared" si="38"/>
        <v>000626</v>
      </c>
      <c r="D245" s="10" t="str">
        <f t="shared" si="39"/>
        <v>如意集团</v>
      </c>
      <c r="E245" s="10" t="str">
        <f t="shared" si="40"/>
        <v>买入</v>
      </c>
      <c r="F245" s="12">
        <v>59.89</v>
      </c>
      <c r="G245" s="10">
        <v>2000</v>
      </c>
      <c r="H245" s="10">
        <v>119780</v>
      </c>
    </row>
    <row r="246" spans="1:8" s="9" customFormat="1" x14ac:dyDescent="0.15">
      <c r="A246" s="10" t="str">
        <f t="shared" si="37"/>
        <v>20160623</v>
      </c>
      <c r="B246" s="11">
        <v>0.44001157407407404</v>
      </c>
      <c r="C246" s="10" t="str">
        <f t="shared" si="38"/>
        <v>000626</v>
      </c>
      <c r="D246" s="10" t="str">
        <f t="shared" si="39"/>
        <v>如意集团</v>
      </c>
      <c r="E246" s="10" t="str">
        <f t="shared" si="40"/>
        <v>买入</v>
      </c>
      <c r="F246" s="12">
        <v>59.968000000000004</v>
      </c>
      <c r="G246" s="10">
        <v>2000</v>
      </c>
      <c r="H246" s="10">
        <v>119935</v>
      </c>
    </row>
    <row r="247" spans="1:8" s="9" customFormat="1" x14ac:dyDescent="0.15">
      <c r="A247" s="6" t="str">
        <f>"20160624"</f>
        <v>20160624</v>
      </c>
      <c r="B247" s="7">
        <v>0.39825231481481477</v>
      </c>
      <c r="C247" s="6" t="str">
        <f t="shared" si="38"/>
        <v>000626</v>
      </c>
      <c r="D247" s="6" t="str">
        <f t="shared" si="39"/>
        <v>如意集团</v>
      </c>
      <c r="E247" s="6" t="str">
        <f>"卖出"</f>
        <v>卖出</v>
      </c>
      <c r="F247" s="8">
        <v>58.277999999999999</v>
      </c>
      <c r="G247" s="6">
        <v>-16400</v>
      </c>
      <c r="H247" s="6">
        <v>955752</v>
      </c>
    </row>
    <row r="248" spans="1:8" s="9" customFormat="1" x14ac:dyDescent="0.15">
      <c r="A248" s="10" t="str">
        <f>"20160624"</f>
        <v>20160624</v>
      </c>
      <c r="B248" s="11">
        <v>0.41464120370370372</v>
      </c>
      <c r="C248" s="10" t="str">
        <f t="shared" ref="C248:C259" si="41">"300340"</f>
        <v>300340</v>
      </c>
      <c r="D248" s="10" t="str">
        <f t="shared" ref="D248:D259" si="42">"科恒股份"</f>
        <v>科恒股份</v>
      </c>
      <c r="E248" s="10" t="str">
        <f>"买入"</f>
        <v>买入</v>
      </c>
      <c r="F248" s="12">
        <v>70.8</v>
      </c>
      <c r="G248" s="10">
        <v>700</v>
      </c>
      <c r="H248" s="10">
        <v>49560</v>
      </c>
    </row>
    <row r="249" spans="1:8" s="9" customFormat="1" x14ac:dyDescent="0.15">
      <c r="A249" s="10" t="str">
        <f>"20160624"</f>
        <v>20160624</v>
      </c>
      <c r="B249" s="11">
        <v>0.41636574074074079</v>
      </c>
      <c r="C249" s="10" t="str">
        <f t="shared" si="41"/>
        <v>300340</v>
      </c>
      <c r="D249" s="10" t="str">
        <f t="shared" si="42"/>
        <v>科恒股份</v>
      </c>
      <c r="E249" s="10" t="str">
        <f>"买入"</f>
        <v>买入</v>
      </c>
      <c r="F249" s="12">
        <v>71.858000000000004</v>
      </c>
      <c r="G249" s="10">
        <v>2500</v>
      </c>
      <c r="H249" s="10">
        <v>179644</v>
      </c>
    </row>
    <row r="250" spans="1:8" s="9" customFormat="1" x14ac:dyDescent="0.15">
      <c r="A250" s="10" t="str">
        <f>"20160624"</f>
        <v>20160624</v>
      </c>
      <c r="B250" s="11">
        <v>0.4168055555555556</v>
      </c>
      <c r="C250" s="10" t="str">
        <f t="shared" si="41"/>
        <v>300340</v>
      </c>
      <c r="D250" s="10" t="str">
        <f t="shared" si="42"/>
        <v>科恒股份</v>
      </c>
      <c r="E250" s="10" t="str">
        <f>"买入"</f>
        <v>买入</v>
      </c>
      <c r="F250" s="12">
        <v>71.881</v>
      </c>
      <c r="G250" s="10">
        <v>5000</v>
      </c>
      <c r="H250" s="10">
        <v>359404</v>
      </c>
    </row>
    <row r="251" spans="1:8" s="9" customFormat="1" x14ac:dyDescent="0.15">
      <c r="A251" s="10" t="str">
        <f>"20160624"</f>
        <v>20160624</v>
      </c>
      <c r="B251" s="11">
        <v>0.41717592592592595</v>
      </c>
      <c r="C251" s="10" t="str">
        <f t="shared" si="41"/>
        <v>300340</v>
      </c>
      <c r="D251" s="10" t="str">
        <f t="shared" si="42"/>
        <v>科恒股份</v>
      </c>
      <c r="E251" s="10" t="str">
        <f>"买入"</f>
        <v>买入</v>
      </c>
      <c r="F251" s="12">
        <v>72.2</v>
      </c>
      <c r="G251" s="10">
        <v>5000</v>
      </c>
      <c r="H251" s="10">
        <v>361000</v>
      </c>
    </row>
    <row r="252" spans="1:8" s="9" customFormat="1" x14ac:dyDescent="0.15">
      <c r="A252" s="6" t="str">
        <f t="shared" ref="A252:A258" si="43">"20160627"</f>
        <v>20160627</v>
      </c>
      <c r="B252" s="7">
        <v>0.43163194444444447</v>
      </c>
      <c r="C252" s="6" t="str">
        <f t="shared" si="41"/>
        <v>300340</v>
      </c>
      <c r="D252" s="6" t="str">
        <f t="shared" si="42"/>
        <v>科恒股份</v>
      </c>
      <c r="E252" s="6" t="str">
        <f>"卖出"</f>
        <v>卖出</v>
      </c>
      <c r="F252" s="8">
        <v>80.59</v>
      </c>
      <c r="G252" s="6">
        <v>-13200</v>
      </c>
      <c r="H252" s="6">
        <v>1063784</v>
      </c>
    </row>
    <row r="253" spans="1:8" s="9" customFormat="1" x14ac:dyDescent="0.15">
      <c r="A253" s="10" t="str">
        <f t="shared" si="43"/>
        <v>20160627</v>
      </c>
      <c r="B253" s="11">
        <v>0.44949074074074075</v>
      </c>
      <c r="C253" s="10" t="str">
        <f t="shared" si="41"/>
        <v>300340</v>
      </c>
      <c r="D253" s="10" t="str">
        <f t="shared" si="42"/>
        <v>科恒股份</v>
      </c>
      <c r="E253" s="10" t="str">
        <f t="shared" ref="E253:E258" si="44">"买入"</f>
        <v>买入</v>
      </c>
      <c r="F253" s="12">
        <v>79.88</v>
      </c>
      <c r="G253" s="10">
        <v>1300</v>
      </c>
      <c r="H253" s="10">
        <v>103844</v>
      </c>
    </row>
    <row r="254" spans="1:8" s="9" customFormat="1" x14ac:dyDescent="0.15">
      <c r="A254" s="10" t="str">
        <f t="shared" si="43"/>
        <v>20160627</v>
      </c>
      <c r="B254" s="11">
        <v>0.45008101851851851</v>
      </c>
      <c r="C254" s="10" t="str">
        <f t="shared" si="41"/>
        <v>300340</v>
      </c>
      <c r="D254" s="10" t="str">
        <f t="shared" si="42"/>
        <v>科恒股份</v>
      </c>
      <c r="E254" s="10" t="str">
        <f t="shared" si="44"/>
        <v>买入</v>
      </c>
      <c r="F254" s="12">
        <v>79.95</v>
      </c>
      <c r="G254" s="10">
        <v>2000</v>
      </c>
      <c r="H254" s="10">
        <v>159900</v>
      </c>
    </row>
    <row r="255" spans="1:8" s="9" customFormat="1" x14ac:dyDescent="0.15">
      <c r="A255" s="10" t="str">
        <f t="shared" si="43"/>
        <v>20160627</v>
      </c>
      <c r="B255" s="11">
        <v>0.45042824074074073</v>
      </c>
      <c r="C255" s="10" t="str">
        <f t="shared" si="41"/>
        <v>300340</v>
      </c>
      <c r="D255" s="10" t="str">
        <f t="shared" si="42"/>
        <v>科恒股份</v>
      </c>
      <c r="E255" s="10" t="str">
        <f t="shared" si="44"/>
        <v>买入</v>
      </c>
      <c r="F255" s="12">
        <v>79.91</v>
      </c>
      <c r="G255" s="10">
        <v>1000</v>
      </c>
      <c r="H255" s="10">
        <v>79910</v>
      </c>
    </row>
    <row r="256" spans="1:8" s="9" customFormat="1" x14ac:dyDescent="0.15">
      <c r="A256" s="10" t="str">
        <f t="shared" si="43"/>
        <v>20160627</v>
      </c>
      <c r="B256" s="11">
        <v>0.45304398148148151</v>
      </c>
      <c r="C256" s="10" t="str">
        <f t="shared" si="41"/>
        <v>300340</v>
      </c>
      <c r="D256" s="10" t="str">
        <f t="shared" si="42"/>
        <v>科恒股份</v>
      </c>
      <c r="E256" s="10" t="str">
        <f t="shared" si="44"/>
        <v>买入</v>
      </c>
      <c r="F256" s="12">
        <v>80.167000000000002</v>
      </c>
      <c r="G256" s="10">
        <v>2000</v>
      </c>
      <c r="H256" s="10">
        <v>160334</v>
      </c>
    </row>
    <row r="257" spans="1:8" s="9" customFormat="1" x14ac:dyDescent="0.15">
      <c r="A257" s="10" t="str">
        <f t="shared" si="43"/>
        <v>20160627</v>
      </c>
      <c r="B257" s="11">
        <v>0.45319444444444446</v>
      </c>
      <c r="C257" s="10" t="str">
        <f t="shared" si="41"/>
        <v>300340</v>
      </c>
      <c r="D257" s="10" t="str">
        <f t="shared" si="42"/>
        <v>科恒股份</v>
      </c>
      <c r="E257" s="10" t="str">
        <f t="shared" si="44"/>
        <v>买入</v>
      </c>
      <c r="F257" s="12">
        <v>80.16</v>
      </c>
      <c r="G257" s="10">
        <v>2000</v>
      </c>
      <c r="H257" s="10">
        <v>160320</v>
      </c>
    </row>
    <row r="258" spans="1:8" s="9" customFormat="1" x14ac:dyDescent="0.15">
      <c r="A258" s="10" t="str">
        <f t="shared" si="43"/>
        <v>20160627</v>
      </c>
      <c r="B258" s="11">
        <v>0.45777777777777778</v>
      </c>
      <c r="C258" s="10" t="str">
        <f t="shared" si="41"/>
        <v>300340</v>
      </c>
      <c r="D258" s="10" t="str">
        <f t="shared" si="42"/>
        <v>科恒股份</v>
      </c>
      <c r="E258" s="10" t="str">
        <f t="shared" si="44"/>
        <v>买入</v>
      </c>
      <c r="F258" s="12">
        <v>81.733999999999995</v>
      </c>
      <c r="G258" s="10">
        <v>4900</v>
      </c>
      <c r="H258" s="10">
        <v>400497</v>
      </c>
    </row>
    <row r="259" spans="1:8" s="9" customFormat="1" x14ac:dyDescent="0.15">
      <c r="A259" s="6" t="str">
        <f t="shared" ref="A259:A288" si="45">"20160628"</f>
        <v>20160628</v>
      </c>
      <c r="B259" s="7">
        <v>0.47562499999999996</v>
      </c>
      <c r="C259" s="6" t="str">
        <f t="shared" si="41"/>
        <v>300340</v>
      </c>
      <c r="D259" s="6" t="str">
        <f t="shared" si="42"/>
        <v>科恒股份</v>
      </c>
      <c r="E259" s="6" t="str">
        <f>"卖出"</f>
        <v>卖出</v>
      </c>
      <c r="F259" s="8">
        <v>89.801000000000002</v>
      </c>
      <c r="G259" s="6">
        <v>-8300</v>
      </c>
      <c r="H259" s="6">
        <v>745352</v>
      </c>
    </row>
    <row r="260" spans="1:8" s="9" customFormat="1" x14ac:dyDescent="0.15">
      <c r="A260" s="10" t="str">
        <f t="shared" si="45"/>
        <v>20160628</v>
      </c>
      <c r="B260" s="11">
        <v>0.47827546296296292</v>
      </c>
      <c r="C260" s="10" t="str">
        <f>"002112"</f>
        <v>002112</v>
      </c>
      <c r="D260" s="10" t="str">
        <f>"三变科技"</f>
        <v>三变科技</v>
      </c>
      <c r="E260" s="10" t="str">
        <f>"买入"</f>
        <v>买入</v>
      </c>
      <c r="F260" s="12">
        <v>22.39</v>
      </c>
      <c r="G260" s="10">
        <v>3300</v>
      </c>
      <c r="H260" s="10">
        <v>73887</v>
      </c>
    </row>
    <row r="261" spans="1:8" s="9" customFormat="1" x14ac:dyDescent="0.15">
      <c r="A261" s="10" t="str">
        <f t="shared" si="45"/>
        <v>20160628</v>
      </c>
      <c r="B261" s="11">
        <v>0.47836805555555556</v>
      </c>
      <c r="C261" s="10" t="str">
        <f>"002112"</f>
        <v>002112</v>
      </c>
      <c r="D261" s="10" t="str">
        <f>"三变科技"</f>
        <v>三变科技</v>
      </c>
      <c r="E261" s="10" t="str">
        <f>"买入"</f>
        <v>买入</v>
      </c>
      <c r="F261" s="12">
        <v>22.384</v>
      </c>
      <c r="G261" s="10">
        <v>10000</v>
      </c>
      <c r="H261" s="10">
        <v>223843</v>
      </c>
    </row>
    <row r="262" spans="1:8" s="9" customFormat="1" x14ac:dyDescent="0.15">
      <c r="A262" s="10" t="str">
        <f t="shared" si="45"/>
        <v>20160628</v>
      </c>
      <c r="B262" s="11">
        <v>0.47879629629629633</v>
      </c>
      <c r="C262" s="10" t="str">
        <f>"002112"</f>
        <v>002112</v>
      </c>
      <c r="D262" s="10" t="str">
        <f>"三变科技"</f>
        <v>三变科技</v>
      </c>
      <c r="E262" s="10" t="str">
        <f>"买入"</f>
        <v>买入</v>
      </c>
      <c r="F262" s="12">
        <v>22.43</v>
      </c>
      <c r="G262" s="10">
        <v>9900</v>
      </c>
      <c r="H262" s="10">
        <v>222057</v>
      </c>
    </row>
    <row r="263" spans="1:8" s="9" customFormat="1" x14ac:dyDescent="0.15">
      <c r="A263" s="6" t="str">
        <f t="shared" si="45"/>
        <v>20160628</v>
      </c>
      <c r="B263" s="7">
        <v>0.54200231481481487</v>
      </c>
      <c r="C263" s="6" t="str">
        <f>"300340"</f>
        <v>300340</v>
      </c>
      <c r="D263" s="6" t="str">
        <f>"科恒股份"</f>
        <v>科恒股份</v>
      </c>
      <c r="E263" s="6" t="str">
        <f>"卖出"</f>
        <v>卖出</v>
      </c>
      <c r="F263" s="8">
        <v>90.78</v>
      </c>
      <c r="G263" s="6">
        <v>-4699</v>
      </c>
      <c r="H263" s="6">
        <v>426575.22</v>
      </c>
    </row>
    <row r="264" spans="1:8" s="9" customFormat="1" x14ac:dyDescent="0.15">
      <c r="A264" s="6" t="str">
        <f t="shared" si="45"/>
        <v>20160628</v>
      </c>
      <c r="B264" s="7">
        <v>0.54309027777777774</v>
      </c>
      <c r="C264" s="6" t="str">
        <f>"300340"</f>
        <v>300340</v>
      </c>
      <c r="D264" s="6" t="str">
        <f>"科恒股份"</f>
        <v>科恒股份</v>
      </c>
      <c r="E264" s="6" t="str">
        <f>"卖出"</f>
        <v>卖出</v>
      </c>
      <c r="F264" s="8">
        <v>90.52</v>
      </c>
      <c r="G264" s="6">
        <v>-201</v>
      </c>
      <c r="H264" s="6">
        <v>18194.52</v>
      </c>
    </row>
    <row r="265" spans="1:8" s="9" customFormat="1" x14ac:dyDescent="0.15">
      <c r="A265" s="10" t="str">
        <f t="shared" si="45"/>
        <v>20160628</v>
      </c>
      <c r="B265" s="11">
        <v>0.54393518518518513</v>
      </c>
      <c r="C265" s="10" t="str">
        <f t="shared" ref="C265:C289" si="46">"002112"</f>
        <v>002112</v>
      </c>
      <c r="D265" s="10" t="str">
        <f t="shared" ref="D265:D289" si="47">"三变科技"</f>
        <v>三变科技</v>
      </c>
      <c r="E265" s="10" t="str">
        <f t="shared" ref="E265:E288" si="48">"买入"</f>
        <v>买入</v>
      </c>
      <c r="F265" s="12">
        <v>22.39</v>
      </c>
      <c r="G265" s="10">
        <v>1800</v>
      </c>
      <c r="H265" s="10">
        <v>40302</v>
      </c>
    </row>
    <row r="266" spans="1:8" s="9" customFormat="1" x14ac:dyDescent="0.15">
      <c r="A266" s="10" t="str">
        <f t="shared" si="45"/>
        <v>20160628</v>
      </c>
      <c r="B266" s="11">
        <v>0.54402777777777778</v>
      </c>
      <c r="C266" s="10" t="str">
        <f t="shared" si="46"/>
        <v>002112</v>
      </c>
      <c r="D266" s="10" t="str">
        <f t="shared" si="47"/>
        <v>三变科技</v>
      </c>
      <c r="E266" s="10" t="str">
        <f t="shared" si="48"/>
        <v>买入</v>
      </c>
      <c r="F266" s="12">
        <v>22.39</v>
      </c>
      <c r="G266" s="10">
        <v>2100</v>
      </c>
      <c r="H266" s="10">
        <v>47019</v>
      </c>
    </row>
    <row r="267" spans="1:8" s="9" customFormat="1" x14ac:dyDescent="0.15">
      <c r="A267" s="10" t="str">
        <f t="shared" si="45"/>
        <v>20160628</v>
      </c>
      <c r="B267" s="11">
        <v>0.54435185185185186</v>
      </c>
      <c r="C267" s="10" t="str">
        <f t="shared" si="46"/>
        <v>002112</v>
      </c>
      <c r="D267" s="10" t="str">
        <f t="shared" si="47"/>
        <v>三变科技</v>
      </c>
      <c r="E267" s="10" t="str">
        <f t="shared" si="48"/>
        <v>买入</v>
      </c>
      <c r="F267" s="12">
        <v>22.42</v>
      </c>
      <c r="G267" s="10">
        <v>1900</v>
      </c>
      <c r="H267" s="10">
        <v>42598</v>
      </c>
    </row>
    <row r="268" spans="1:8" s="9" customFormat="1" x14ac:dyDescent="0.15">
      <c r="A268" s="10" t="str">
        <f t="shared" si="45"/>
        <v>20160628</v>
      </c>
      <c r="B268" s="11">
        <v>0.54453703703703704</v>
      </c>
      <c r="C268" s="10" t="str">
        <f t="shared" si="46"/>
        <v>002112</v>
      </c>
      <c r="D268" s="10" t="str">
        <f t="shared" si="47"/>
        <v>三变科技</v>
      </c>
      <c r="E268" s="10" t="str">
        <f t="shared" si="48"/>
        <v>买入</v>
      </c>
      <c r="F268" s="12">
        <v>22.43</v>
      </c>
      <c r="G268" s="10">
        <v>1500</v>
      </c>
      <c r="H268" s="10">
        <v>33645</v>
      </c>
    </row>
    <row r="269" spans="1:8" s="9" customFormat="1" x14ac:dyDescent="0.15">
      <c r="A269" s="10" t="str">
        <f t="shared" si="45"/>
        <v>20160628</v>
      </c>
      <c r="B269" s="11">
        <v>0.54459490740740735</v>
      </c>
      <c r="C269" s="10" t="str">
        <f t="shared" si="46"/>
        <v>002112</v>
      </c>
      <c r="D269" s="10" t="str">
        <f t="shared" si="47"/>
        <v>三变科技</v>
      </c>
      <c r="E269" s="10" t="str">
        <f t="shared" si="48"/>
        <v>买入</v>
      </c>
      <c r="F269" s="12">
        <v>22.44</v>
      </c>
      <c r="G269" s="10">
        <v>1500</v>
      </c>
      <c r="H269" s="10">
        <v>33660</v>
      </c>
    </row>
    <row r="270" spans="1:8" s="9" customFormat="1" x14ac:dyDescent="0.15">
      <c r="A270" s="10" t="str">
        <f t="shared" si="45"/>
        <v>20160628</v>
      </c>
      <c r="B270" s="11">
        <v>0.54468749999999999</v>
      </c>
      <c r="C270" s="10" t="str">
        <f t="shared" si="46"/>
        <v>002112</v>
      </c>
      <c r="D270" s="10" t="str">
        <f t="shared" si="47"/>
        <v>三变科技</v>
      </c>
      <c r="E270" s="10" t="str">
        <f t="shared" si="48"/>
        <v>买入</v>
      </c>
      <c r="F270" s="12">
        <v>22.44</v>
      </c>
      <c r="G270" s="10">
        <v>1000</v>
      </c>
      <c r="H270" s="10">
        <v>22440</v>
      </c>
    </row>
    <row r="271" spans="1:8" s="9" customFormat="1" x14ac:dyDescent="0.15">
      <c r="A271" s="10" t="str">
        <f t="shared" si="45"/>
        <v>20160628</v>
      </c>
      <c r="B271" s="11">
        <v>0.5447453703703703</v>
      </c>
      <c r="C271" s="10" t="str">
        <f t="shared" si="46"/>
        <v>002112</v>
      </c>
      <c r="D271" s="10" t="str">
        <f t="shared" si="47"/>
        <v>三变科技</v>
      </c>
      <c r="E271" s="10" t="str">
        <f t="shared" si="48"/>
        <v>买入</v>
      </c>
      <c r="F271" s="12">
        <v>22.43</v>
      </c>
      <c r="G271" s="10">
        <v>1000</v>
      </c>
      <c r="H271" s="10">
        <v>22430</v>
      </c>
    </row>
    <row r="272" spans="1:8" s="9" customFormat="1" x14ac:dyDescent="0.15">
      <c r="A272" s="10" t="str">
        <f t="shared" si="45"/>
        <v>20160628</v>
      </c>
      <c r="B272" s="11">
        <v>0.54554398148148142</v>
      </c>
      <c r="C272" s="10" t="str">
        <f t="shared" si="46"/>
        <v>002112</v>
      </c>
      <c r="D272" s="10" t="str">
        <f t="shared" si="47"/>
        <v>三变科技</v>
      </c>
      <c r="E272" s="10" t="str">
        <f t="shared" si="48"/>
        <v>买入</v>
      </c>
      <c r="F272" s="12">
        <v>22.378</v>
      </c>
      <c r="G272" s="10">
        <v>500</v>
      </c>
      <c r="H272" s="10">
        <v>11189</v>
      </c>
    </row>
    <row r="273" spans="1:8" s="9" customFormat="1" x14ac:dyDescent="0.15">
      <c r="A273" s="10" t="str">
        <f t="shared" si="45"/>
        <v>20160628</v>
      </c>
      <c r="B273" s="11">
        <v>0.54571759259259256</v>
      </c>
      <c r="C273" s="10" t="str">
        <f t="shared" si="46"/>
        <v>002112</v>
      </c>
      <c r="D273" s="10" t="str">
        <f t="shared" si="47"/>
        <v>三变科技</v>
      </c>
      <c r="E273" s="10" t="str">
        <f t="shared" si="48"/>
        <v>买入</v>
      </c>
      <c r="F273" s="12">
        <v>22.29</v>
      </c>
      <c r="G273" s="10">
        <v>1500</v>
      </c>
      <c r="H273" s="10">
        <v>33435</v>
      </c>
    </row>
    <row r="274" spans="1:8" s="9" customFormat="1" x14ac:dyDescent="0.15">
      <c r="A274" s="10" t="str">
        <f t="shared" si="45"/>
        <v>20160628</v>
      </c>
      <c r="B274" s="11">
        <v>0.54582175925925924</v>
      </c>
      <c r="C274" s="10" t="str">
        <f t="shared" si="46"/>
        <v>002112</v>
      </c>
      <c r="D274" s="10" t="str">
        <f t="shared" si="47"/>
        <v>三变科技</v>
      </c>
      <c r="E274" s="10" t="str">
        <f t="shared" si="48"/>
        <v>买入</v>
      </c>
      <c r="F274" s="12">
        <v>22.29</v>
      </c>
      <c r="G274" s="10">
        <v>400</v>
      </c>
      <c r="H274" s="10">
        <v>8916</v>
      </c>
    </row>
    <row r="275" spans="1:8" s="9" customFormat="1" x14ac:dyDescent="0.15">
      <c r="A275" s="10" t="str">
        <f t="shared" si="45"/>
        <v>20160628</v>
      </c>
      <c r="B275" s="11">
        <v>0.54593749999999996</v>
      </c>
      <c r="C275" s="10" t="str">
        <f t="shared" si="46"/>
        <v>002112</v>
      </c>
      <c r="D275" s="10" t="str">
        <f t="shared" si="47"/>
        <v>三变科技</v>
      </c>
      <c r="E275" s="10" t="str">
        <f t="shared" si="48"/>
        <v>买入</v>
      </c>
      <c r="F275" s="12">
        <v>22.37</v>
      </c>
      <c r="G275" s="10">
        <v>1000</v>
      </c>
      <c r="H275" s="10">
        <v>22370</v>
      </c>
    </row>
    <row r="276" spans="1:8" s="9" customFormat="1" x14ac:dyDescent="0.15">
      <c r="A276" s="10" t="str">
        <f t="shared" si="45"/>
        <v>20160628</v>
      </c>
      <c r="B276" s="11">
        <v>0.546412037037037</v>
      </c>
      <c r="C276" s="10" t="str">
        <f t="shared" si="46"/>
        <v>002112</v>
      </c>
      <c r="D276" s="10" t="str">
        <f t="shared" si="47"/>
        <v>三变科技</v>
      </c>
      <c r="E276" s="10" t="str">
        <f t="shared" si="48"/>
        <v>买入</v>
      </c>
      <c r="F276" s="12">
        <v>22.32</v>
      </c>
      <c r="G276" s="10">
        <v>1100</v>
      </c>
      <c r="H276" s="10">
        <v>24552</v>
      </c>
    </row>
    <row r="277" spans="1:8" s="9" customFormat="1" x14ac:dyDescent="0.15">
      <c r="A277" s="10" t="str">
        <f t="shared" si="45"/>
        <v>20160628</v>
      </c>
      <c r="B277" s="11">
        <v>0.54658564814814814</v>
      </c>
      <c r="C277" s="10" t="str">
        <f t="shared" si="46"/>
        <v>002112</v>
      </c>
      <c r="D277" s="10" t="str">
        <f t="shared" si="47"/>
        <v>三变科技</v>
      </c>
      <c r="E277" s="10" t="str">
        <f t="shared" si="48"/>
        <v>买入</v>
      </c>
      <c r="F277" s="12">
        <v>22.34</v>
      </c>
      <c r="G277" s="10">
        <v>1100</v>
      </c>
      <c r="H277" s="10">
        <v>24574</v>
      </c>
    </row>
    <row r="278" spans="1:8" s="9" customFormat="1" x14ac:dyDescent="0.15">
      <c r="A278" s="10" t="str">
        <f t="shared" si="45"/>
        <v>20160628</v>
      </c>
      <c r="B278" s="11">
        <v>0.54667824074074078</v>
      </c>
      <c r="C278" s="10" t="str">
        <f t="shared" si="46"/>
        <v>002112</v>
      </c>
      <c r="D278" s="10" t="str">
        <f t="shared" si="47"/>
        <v>三变科技</v>
      </c>
      <c r="E278" s="10" t="str">
        <f t="shared" si="48"/>
        <v>买入</v>
      </c>
      <c r="F278" s="12">
        <v>22.36</v>
      </c>
      <c r="G278" s="10">
        <v>1100</v>
      </c>
      <c r="H278" s="10">
        <v>24596</v>
      </c>
    </row>
    <row r="279" spans="1:8" s="9" customFormat="1" x14ac:dyDescent="0.15">
      <c r="A279" s="10" t="str">
        <f t="shared" si="45"/>
        <v>20160628</v>
      </c>
      <c r="B279" s="11">
        <v>0.54701388888888891</v>
      </c>
      <c r="C279" s="10" t="str">
        <f t="shared" si="46"/>
        <v>002112</v>
      </c>
      <c r="D279" s="10" t="str">
        <f t="shared" si="47"/>
        <v>三变科技</v>
      </c>
      <c r="E279" s="10" t="str">
        <f t="shared" si="48"/>
        <v>买入</v>
      </c>
      <c r="F279" s="12">
        <v>22.39</v>
      </c>
      <c r="G279" s="10">
        <v>1200</v>
      </c>
      <c r="H279" s="10">
        <v>26868</v>
      </c>
    </row>
    <row r="280" spans="1:8" s="9" customFormat="1" x14ac:dyDescent="0.15">
      <c r="A280" s="10" t="str">
        <f t="shared" si="45"/>
        <v>20160628</v>
      </c>
      <c r="B280" s="11">
        <v>0.54728009259259258</v>
      </c>
      <c r="C280" s="10" t="str">
        <f t="shared" si="46"/>
        <v>002112</v>
      </c>
      <c r="D280" s="10" t="str">
        <f t="shared" si="47"/>
        <v>三变科技</v>
      </c>
      <c r="E280" s="10" t="str">
        <f t="shared" si="48"/>
        <v>买入</v>
      </c>
      <c r="F280" s="12">
        <v>22.38</v>
      </c>
      <c r="G280" s="10">
        <v>1200</v>
      </c>
      <c r="H280" s="10">
        <v>26856</v>
      </c>
    </row>
    <row r="281" spans="1:8" s="9" customFormat="1" x14ac:dyDescent="0.15">
      <c r="A281" s="10" t="str">
        <f t="shared" si="45"/>
        <v>20160628</v>
      </c>
      <c r="B281" s="11">
        <v>0.54740740740740745</v>
      </c>
      <c r="C281" s="10" t="str">
        <f t="shared" si="46"/>
        <v>002112</v>
      </c>
      <c r="D281" s="10" t="str">
        <f t="shared" si="47"/>
        <v>三变科技</v>
      </c>
      <c r="E281" s="10" t="str">
        <f t="shared" si="48"/>
        <v>买入</v>
      </c>
      <c r="F281" s="12">
        <v>22.38</v>
      </c>
      <c r="G281" s="10">
        <v>2000</v>
      </c>
      <c r="H281" s="10">
        <v>44760</v>
      </c>
    </row>
    <row r="282" spans="1:8" s="9" customFormat="1" x14ac:dyDescent="0.15">
      <c r="A282" s="10" t="str">
        <f t="shared" si="45"/>
        <v>20160628</v>
      </c>
      <c r="B282" s="11">
        <v>0.54754629629629636</v>
      </c>
      <c r="C282" s="10" t="str">
        <f t="shared" si="46"/>
        <v>002112</v>
      </c>
      <c r="D282" s="10" t="str">
        <f t="shared" si="47"/>
        <v>三变科技</v>
      </c>
      <c r="E282" s="10" t="str">
        <f t="shared" si="48"/>
        <v>买入</v>
      </c>
      <c r="F282" s="12">
        <v>22.38</v>
      </c>
      <c r="G282" s="10">
        <v>2000</v>
      </c>
      <c r="H282" s="10">
        <v>44760</v>
      </c>
    </row>
    <row r="283" spans="1:8" s="9" customFormat="1" x14ac:dyDescent="0.15">
      <c r="A283" s="10" t="str">
        <f t="shared" si="45"/>
        <v>20160628</v>
      </c>
      <c r="B283" s="11">
        <v>0.54773148148148143</v>
      </c>
      <c r="C283" s="10" t="str">
        <f t="shared" si="46"/>
        <v>002112</v>
      </c>
      <c r="D283" s="10" t="str">
        <f t="shared" si="47"/>
        <v>三变科技</v>
      </c>
      <c r="E283" s="10" t="str">
        <f t="shared" si="48"/>
        <v>买入</v>
      </c>
      <c r="F283" s="12">
        <v>22.39</v>
      </c>
      <c r="G283" s="10">
        <v>1000</v>
      </c>
      <c r="H283" s="10">
        <v>22390</v>
      </c>
    </row>
    <row r="284" spans="1:8" s="9" customFormat="1" x14ac:dyDescent="0.15">
      <c r="A284" s="10" t="str">
        <f t="shared" si="45"/>
        <v>20160628</v>
      </c>
      <c r="B284" s="11">
        <v>0.54782407407407407</v>
      </c>
      <c r="C284" s="10" t="str">
        <f t="shared" si="46"/>
        <v>002112</v>
      </c>
      <c r="D284" s="10" t="str">
        <f t="shared" si="47"/>
        <v>三变科技</v>
      </c>
      <c r="E284" s="10" t="str">
        <f t="shared" si="48"/>
        <v>买入</v>
      </c>
      <c r="F284" s="12">
        <v>22.39</v>
      </c>
      <c r="G284" s="10">
        <v>1000</v>
      </c>
      <c r="H284" s="10">
        <v>22390</v>
      </c>
    </row>
    <row r="285" spans="1:8" s="9" customFormat="1" x14ac:dyDescent="0.15">
      <c r="A285" s="10" t="str">
        <f t="shared" si="45"/>
        <v>20160628</v>
      </c>
      <c r="B285" s="11">
        <v>0.54796296296296299</v>
      </c>
      <c r="C285" s="10" t="str">
        <f t="shared" si="46"/>
        <v>002112</v>
      </c>
      <c r="D285" s="10" t="str">
        <f t="shared" si="47"/>
        <v>三变科技</v>
      </c>
      <c r="E285" s="10" t="str">
        <f t="shared" si="48"/>
        <v>买入</v>
      </c>
      <c r="F285" s="12">
        <v>22.39</v>
      </c>
      <c r="G285" s="10">
        <v>1000</v>
      </c>
      <c r="H285" s="10">
        <v>22390</v>
      </c>
    </row>
    <row r="286" spans="1:8" s="9" customFormat="1" x14ac:dyDescent="0.15">
      <c r="A286" s="10" t="str">
        <f t="shared" si="45"/>
        <v>20160628</v>
      </c>
      <c r="B286" s="11">
        <v>0.54817129629629624</v>
      </c>
      <c r="C286" s="10" t="str">
        <f t="shared" si="46"/>
        <v>002112</v>
      </c>
      <c r="D286" s="10" t="str">
        <f t="shared" si="47"/>
        <v>三变科技</v>
      </c>
      <c r="E286" s="10" t="str">
        <f t="shared" si="48"/>
        <v>买入</v>
      </c>
      <c r="F286" s="12">
        <v>22.38</v>
      </c>
      <c r="G286" s="10">
        <v>1000</v>
      </c>
      <c r="H286" s="10">
        <v>22380</v>
      </c>
    </row>
    <row r="287" spans="1:8" s="9" customFormat="1" x14ac:dyDescent="0.15">
      <c r="A287" s="10" t="str">
        <f t="shared" si="45"/>
        <v>20160628</v>
      </c>
      <c r="B287" s="11">
        <v>0.54829861111111111</v>
      </c>
      <c r="C287" s="10" t="str">
        <f t="shared" si="46"/>
        <v>002112</v>
      </c>
      <c r="D287" s="10" t="str">
        <f t="shared" si="47"/>
        <v>三变科技</v>
      </c>
      <c r="E287" s="10" t="str">
        <f t="shared" si="48"/>
        <v>买入</v>
      </c>
      <c r="F287" s="12">
        <v>22.38</v>
      </c>
      <c r="G287" s="10">
        <v>800</v>
      </c>
      <c r="H287" s="10">
        <v>17904</v>
      </c>
    </row>
    <row r="288" spans="1:8" s="9" customFormat="1" x14ac:dyDescent="0.15">
      <c r="A288" s="10" t="str">
        <f t="shared" si="45"/>
        <v>20160628</v>
      </c>
      <c r="B288" s="11">
        <v>0.54841435185185183</v>
      </c>
      <c r="C288" s="10" t="str">
        <f t="shared" si="46"/>
        <v>002112</v>
      </c>
      <c r="D288" s="10" t="str">
        <f t="shared" si="47"/>
        <v>三变科技</v>
      </c>
      <c r="E288" s="10" t="str">
        <f t="shared" si="48"/>
        <v>买入</v>
      </c>
      <c r="F288" s="12">
        <v>22.4</v>
      </c>
      <c r="G288" s="10">
        <v>1200</v>
      </c>
      <c r="H288" s="10">
        <v>26880</v>
      </c>
    </row>
    <row r="289" spans="1:8" s="9" customFormat="1" x14ac:dyDescent="0.15">
      <c r="A289" s="6" t="str">
        <f t="shared" ref="A289:A295" si="49">"20160629"</f>
        <v>20160629</v>
      </c>
      <c r="B289" s="7">
        <v>0.40311342592592592</v>
      </c>
      <c r="C289" s="6" t="str">
        <f t="shared" si="46"/>
        <v>002112</v>
      </c>
      <c r="D289" s="6" t="str">
        <f t="shared" si="47"/>
        <v>三变科技</v>
      </c>
      <c r="E289" s="6" t="str">
        <f>"卖出"</f>
        <v>卖出</v>
      </c>
      <c r="F289" s="8">
        <v>23.2</v>
      </c>
      <c r="G289" s="6">
        <v>-53100</v>
      </c>
      <c r="H289" s="6">
        <v>1231933.97</v>
      </c>
    </row>
    <row r="290" spans="1:8" s="9" customFormat="1" x14ac:dyDescent="0.15">
      <c r="A290" s="10" t="str">
        <f t="shared" si="49"/>
        <v>20160629</v>
      </c>
      <c r="B290" s="11">
        <v>0.40539351851851851</v>
      </c>
      <c r="C290" s="10" t="str">
        <f t="shared" ref="C290:C296" si="50">"002474"</f>
        <v>002474</v>
      </c>
      <c r="D290" s="10" t="str">
        <f t="shared" ref="D290:D296" si="51">"榕基软件"</f>
        <v>榕基软件</v>
      </c>
      <c r="E290" s="10" t="str">
        <f t="shared" ref="E290:E295" si="52">"买入"</f>
        <v>买入</v>
      </c>
      <c r="F290" s="12">
        <v>17.600000000000001</v>
      </c>
      <c r="G290" s="10">
        <v>9800</v>
      </c>
      <c r="H290" s="10">
        <v>172480</v>
      </c>
    </row>
    <row r="291" spans="1:8" s="9" customFormat="1" x14ac:dyDescent="0.15">
      <c r="A291" s="10" t="str">
        <f t="shared" si="49"/>
        <v>20160629</v>
      </c>
      <c r="B291" s="11">
        <v>0.40556712962962965</v>
      </c>
      <c r="C291" s="10" t="str">
        <f t="shared" si="50"/>
        <v>002474</v>
      </c>
      <c r="D291" s="10" t="str">
        <f t="shared" si="51"/>
        <v>榕基软件</v>
      </c>
      <c r="E291" s="10" t="str">
        <f t="shared" si="52"/>
        <v>买入</v>
      </c>
      <c r="F291" s="12">
        <v>17.600000000000001</v>
      </c>
      <c r="G291" s="10">
        <v>11100</v>
      </c>
      <c r="H291" s="10">
        <v>195360</v>
      </c>
    </row>
    <row r="292" spans="1:8" s="9" customFormat="1" x14ac:dyDescent="0.15">
      <c r="A292" s="10" t="str">
        <f t="shared" si="49"/>
        <v>20160629</v>
      </c>
      <c r="B292" s="11">
        <v>0.40577546296296302</v>
      </c>
      <c r="C292" s="10" t="str">
        <f t="shared" si="50"/>
        <v>002474</v>
      </c>
      <c r="D292" s="10" t="str">
        <f t="shared" si="51"/>
        <v>榕基软件</v>
      </c>
      <c r="E292" s="10" t="str">
        <f t="shared" si="52"/>
        <v>买入</v>
      </c>
      <c r="F292" s="12">
        <v>17.64</v>
      </c>
      <c r="G292" s="10">
        <v>8800</v>
      </c>
      <c r="H292" s="10">
        <v>155232</v>
      </c>
    </row>
    <row r="293" spans="1:8" s="9" customFormat="1" x14ac:dyDescent="0.15">
      <c r="A293" s="10" t="str">
        <f t="shared" si="49"/>
        <v>20160629</v>
      </c>
      <c r="B293" s="11">
        <v>0.40659722222222222</v>
      </c>
      <c r="C293" s="10" t="str">
        <f t="shared" si="50"/>
        <v>002474</v>
      </c>
      <c r="D293" s="10" t="str">
        <f t="shared" si="51"/>
        <v>榕基软件</v>
      </c>
      <c r="E293" s="10" t="str">
        <f t="shared" si="52"/>
        <v>买入</v>
      </c>
      <c r="F293" s="12">
        <v>17.600000000000001</v>
      </c>
      <c r="G293" s="10">
        <v>11000</v>
      </c>
      <c r="H293" s="10">
        <v>193596</v>
      </c>
    </row>
    <row r="294" spans="1:8" s="9" customFormat="1" x14ac:dyDescent="0.15">
      <c r="A294" s="10" t="str">
        <f t="shared" si="49"/>
        <v>20160629</v>
      </c>
      <c r="B294" s="11">
        <v>0.40685185185185185</v>
      </c>
      <c r="C294" s="10" t="str">
        <f t="shared" si="50"/>
        <v>002474</v>
      </c>
      <c r="D294" s="10" t="str">
        <f t="shared" si="51"/>
        <v>榕基软件</v>
      </c>
      <c r="E294" s="10" t="str">
        <f t="shared" si="52"/>
        <v>买入</v>
      </c>
      <c r="F294" s="12">
        <v>17.600000000000001</v>
      </c>
      <c r="G294" s="10">
        <v>9100</v>
      </c>
      <c r="H294" s="10">
        <v>160160</v>
      </c>
    </row>
    <row r="295" spans="1:8" s="9" customFormat="1" x14ac:dyDescent="0.15">
      <c r="A295" s="10" t="str">
        <f t="shared" si="49"/>
        <v>20160629</v>
      </c>
      <c r="B295" s="11">
        <v>0.40861111111111109</v>
      </c>
      <c r="C295" s="10" t="str">
        <f t="shared" si="50"/>
        <v>002474</v>
      </c>
      <c r="D295" s="10" t="str">
        <f t="shared" si="51"/>
        <v>榕基软件</v>
      </c>
      <c r="E295" s="10" t="str">
        <f t="shared" si="52"/>
        <v>买入</v>
      </c>
      <c r="F295" s="12">
        <v>17.547000000000001</v>
      </c>
      <c r="G295" s="10">
        <v>20000</v>
      </c>
      <c r="H295" s="10">
        <v>350944</v>
      </c>
    </row>
    <row r="296" spans="1:8" s="9" customFormat="1" x14ac:dyDescent="0.15">
      <c r="A296" s="6" t="str">
        <f>"20160630"</f>
        <v>20160630</v>
      </c>
      <c r="B296" s="7">
        <v>0.39624999999999999</v>
      </c>
      <c r="C296" s="6" t="str">
        <f t="shared" si="50"/>
        <v>002474</v>
      </c>
      <c r="D296" s="6" t="str">
        <f t="shared" si="51"/>
        <v>榕基软件</v>
      </c>
      <c r="E296" s="6" t="str">
        <f>"卖出"</f>
        <v>卖出</v>
      </c>
      <c r="F296" s="8">
        <v>17.863</v>
      </c>
      <c r="G296" s="6">
        <v>-69800</v>
      </c>
      <c r="H296" s="6">
        <v>1246804</v>
      </c>
    </row>
    <row r="297" spans="1:8" s="9" customFormat="1" x14ac:dyDescent="0.15">
      <c r="A297" s="10" t="str">
        <f>"20160630"</f>
        <v>20160630</v>
      </c>
      <c r="B297" s="11">
        <v>0.39974537037037039</v>
      </c>
      <c r="C297" s="10" t="str">
        <f>"002610"</f>
        <v>002610</v>
      </c>
      <c r="D297" s="10" t="str">
        <f>"爱康科技"</f>
        <v>爱康科技</v>
      </c>
      <c r="E297" s="10" t="str">
        <f>"买入"</f>
        <v>买入</v>
      </c>
      <c r="F297" s="12">
        <v>19.353000000000002</v>
      </c>
      <c r="G297" s="10">
        <v>24300</v>
      </c>
      <c r="H297" s="10">
        <v>470277</v>
      </c>
    </row>
    <row r="298" spans="1:8" s="9" customFormat="1" x14ac:dyDescent="0.15">
      <c r="A298" s="10" t="str">
        <f>"20160630"</f>
        <v>20160630</v>
      </c>
      <c r="B298" s="11">
        <v>0.40002314814814816</v>
      </c>
      <c r="C298" s="10" t="str">
        <f>"002610"</f>
        <v>002610</v>
      </c>
      <c r="D298" s="10" t="str">
        <f>"爱康科技"</f>
        <v>爱康科技</v>
      </c>
      <c r="E298" s="10" t="str">
        <f>"买入"</f>
        <v>买入</v>
      </c>
      <c r="F298" s="12">
        <v>19.378</v>
      </c>
      <c r="G298" s="10">
        <v>11000</v>
      </c>
      <c r="H298" s="10">
        <v>213158</v>
      </c>
    </row>
    <row r="299" spans="1:8" s="9" customFormat="1" x14ac:dyDescent="0.15">
      <c r="A299" s="10" t="str">
        <f>"20160630"</f>
        <v>20160630</v>
      </c>
      <c r="B299" s="11">
        <v>0.40021990740740737</v>
      </c>
      <c r="C299" s="10" t="str">
        <f>"002610"</f>
        <v>002610</v>
      </c>
      <c r="D299" s="10" t="str">
        <f>"爱康科技"</f>
        <v>爱康科技</v>
      </c>
      <c r="E299" s="10" t="str">
        <f>"买入"</f>
        <v>买入</v>
      </c>
      <c r="F299" s="12">
        <v>19.43</v>
      </c>
      <c r="G299" s="10">
        <v>28800</v>
      </c>
      <c r="H299" s="10">
        <v>559584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5:E6 E7 C9:C10 D9 E12:E299 D10:D299 C22:C29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111111111111111111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china</cp:lastModifiedBy>
  <dcterms:created xsi:type="dcterms:W3CDTF">2016-07-01T13:07:22Z</dcterms:created>
  <dcterms:modified xsi:type="dcterms:W3CDTF">2017-10-19T03:14:35Z</dcterms:modified>
</cp:coreProperties>
</file>